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6" activeTab="4"/>
  </bookViews>
  <sheets>
    <sheet name="kg e %RD" sheetId="1" r:id="rId1"/>
    <sheet name="spese e _" sheetId="2" r:id="rId2"/>
    <sheet name="Totale kg x abitante" sheetId="3" r:id="rId3"/>
    <sheet name="RD kg x abitante e TREND % differenziata" sheetId="4" r:id="rId4"/>
    <sheet name="SECCO _ UMIDO_CARTA_PLASTICA_VETRO" sheetId="5" r:id="rId5"/>
  </sheets>
  <definedNames/>
  <calcPr fullCalcOnLoad="1"/>
</workbook>
</file>

<file path=xl/sharedStrings.xml><?xml version="1.0" encoding="utf-8"?>
<sst xmlns="http://schemas.openxmlformats.org/spreadsheetml/2006/main" count="64" uniqueCount="33">
  <si>
    <t>ANNO</t>
  </si>
  <si>
    <t>TON RIFIUTI PRODOTTI / 1.000</t>
  </si>
  <si>
    <t>% DI RACCOLTA DIFFERENZIATA</t>
  </si>
  <si>
    <t>KG / ABITANTE</t>
  </si>
  <si>
    <t xml:space="preserve">CANONE SERVIZI IGIENE URBANA </t>
  </si>
  <si>
    <t>SMALTIMENTO SPAZZAMENTO</t>
  </si>
  <si>
    <t>SMALTIMENTO INGOMBRANTI</t>
  </si>
  <si>
    <t>SMALTIMENTO SECCO</t>
  </si>
  <si>
    <t>SMALTIMENTO UMIDO</t>
  </si>
  <si>
    <t>TOTALE SPESE x 100.000</t>
  </si>
  <si>
    <t>€ / ABITANTE</t>
  </si>
  <si>
    <t>* Solo 1° semestre, dal 1° luglio inclusi nel canone (nuovo appalto Sangalli)</t>
  </si>
  <si>
    <t>anno</t>
  </si>
  <si>
    <t>abitanti</t>
  </si>
  <si>
    <t xml:space="preserve">ton rifiuti </t>
  </si>
  <si>
    <t>kg/abitante/anno * 100</t>
  </si>
  <si>
    <t>TON UMIDO</t>
  </si>
  <si>
    <t>TON CARTA</t>
  </si>
  <si>
    <t>TON PLASTICA</t>
  </si>
  <si>
    <t>TON VETRO</t>
  </si>
  <si>
    <t>ABITANTI</t>
  </si>
  <si>
    <t>kg/abitante</t>
  </si>
  <si>
    <t>UMIDO</t>
  </si>
  <si>
    <t>CARTA</t>
  </si>
  <si>
    <t>PLASTICA</t>
  </si>
  <si>
    <t>VETRO</t>
  </si>
  <si>
    <t>%PLASTICA (IMBALLAGGI MISTI)</t>
  </si>
  <si>
    <t>% UMIDO</t>
  </si>
  <si>
    <t>%CARTA</t>
  </si>
  <si>
    <t>%VETRO</t>
  </si>
  <si>
    <t>% SECCO</t>
  </si>
  <si>
    <t>TON SECCO/10</t>
  </si>
  <si>
    <t>ABITANTI/10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</si>
</sst>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.00"/>
    <numFmt numFmtId="167" formatCode="&quot; € &quot;#,##0.00\ ;&quot;-€ &quot;#,##0.00\ ;&quot; € -&quot;#\ ;@\ "/>
    <numFmt numFmtId="168" formatCode="[$€-410]\ #,##0.00;[RED]\-[$€-410]\ #,##0.00"/>
    <numFmt numFmtId="169" formatCode="[$€-410]\ #,##0.00;[RED]\-[$€-410]\ #,##0.00"/>
    <numFmt numFmtId="170" formatCode="0.0"/>
  </numFmts>
  <fonts count="16"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3"/>
      <name val="Arial"/>
      <family val="2"/>
    </font>
    <font>
      <b/>
      <sz val="11.9"/>
      <color indexed="8"/>
      <name val="Arial"/>
      <family val="2"/>
    </font>
    <font>
      <sz val="15.7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top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center"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4" fontId="1" fillId="0" borderId="2" xfId="0" applyFont="1" applyBorder="1" applyAlignment="1">
      <alignment horizontal="center" vertical="top"/>
    </xf>
    <xf numFmtId="164" fontId="1" fillId="0" borderId="2" xfId="0" applyFont="1" applyBorder="1" applyAlignment="1">
      <alignment horizontal="center" vertical="top" wrapText="1"/>
    </xf>
    <xf numFmtId="164" fontId="1" fillId="0" borderId="3" xfId="0" applyFont="1" applyBorder="1" applyAlignment="1">
      <alignment horizontal="center" vertical="top" wrapText="1"/>
    </xf>
    <xf numFmtId="164" fontId="1" fillId="0" borderId="2" xfId="0" applyFont="1" applyBorder="1" applyAlignment="1">
      <alignment horizontal="center" wrapText="1"/>
    </xf>
    <xf numFmtId="164" fontId="0" fillId="0" borderId="2" xfId="0" applyBorder="1" applyAlignment="1">
      <alignment wrapText="1"/>
    </xf>
    <xf numFmtId="164" fontId="1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2" xfId="0" applyFont="1" applyBorder="1" applyAlignment="1">
      <alignment horizontal="center" wrapText="1"/>
    </xf>
    <xf numFmtId="167" fontId="0" fillId="0" borderId="2" xfId="17" applyFont="1" applyFill="1" applyBorder="1" applyAlignment="1" applyProtection="1">
      <alignment horizontal="right"/>
      <protection/>
    </xf>
    <xf numFmtId="164" fontId="0" fillId="0" borderId="3" xfId="0" applyFont="1" applyBorder="1" applyAlignment="1">
      <alignment horizontal="center"/>
    </xf>
    <xf numFmtId="165" fontId="0" fillId="0" borderId="2" xfId="0" applyNumberFormat="1" applyBorder="1" applyAlignment="1">
      <alignment/>
    </xf>
    <xf numFmtId="167" fontId="0" fillId="0" borderId="2" xfId="0" applyNumberFormat="1" applyBorder="1" applyAlignment="1">
      <alignment/>
    </xf>
    <xf numFmtId="167" fontId="0" fillId="0" borderId="2" xfId="17" applyFont="1" applyFill="1" applyBorder="1" applyAlignment="1" applyProtection="1">
      <alignment/>
      <protection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 horizontal="center"/>
    </xf>
    <xf numFmtId="167" fontId="0" fillId="0" borderId="2" xfId="0" applyNumberFormat="1" applyFont="1" applyBorder="1" applyAlignment="1">
      <alignment/>
    </xf>
    <xf numFmtId="164" fontId="4" fillId="0" borderId="4" xfId="0" applyFont="1" applyBorder="1" applyAlignment="1">
      <alignment horizontal="center"/>
    </xf>
    <xf numFmtId="167" fontId="0" fillId="0" borderId="4" xfId="17" applyFont="1" applyFill="1" applyBorder="1" applyAlignment="1" applyProtection="1">
      <alignment/>
      <protection/>
    </xf>
    <xf numFmtId="167" fontId="5" fillId="0" borderId="4" xfId="17" applyFont="1" applyFill="1" applyBorder="1" applyAlignment="1" applyProtection="1">
      <alignment/>
      <protection/>
    </xf>
    <xf numFmtId="167" fontId="0" fillId="0" borderId="4" xfId="0" applyNumberFormat="1" applyBorder="1" applyAlignment="1">
      <alignment/>
    </xf>
    <xf numFmtId="164" fontId="0" fillId="0" borderId="4" xfId="0" applyBorder="1" applyAlignment="1">
      <alignment horizontal="center"/>
    </xf>
    <xf numFmtId="164" fontId="0" fillId="0" borderId="5" xfId="0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7" fontId="6" fillId="0" borderId="4" xfId="17" applyFont="1" applyFill="1" applyBorder="1" applyAlignment="1" applyProtection="1">
      <alignment/>
      <protection/>
    </xf>
    <xf numFmtId="168" fontId="6" fillId="0" borderId="4" xfId="17" applyNumberFormat="1" applyFont="1" applyFill="1" applyBorder="1" applyAlignment="1" applyProtection="1">
      <alignment/>
      <protection/>
    </xf>
    <xf numFmtId="167" fontId="0" fillId="0" borderId="4" xfId="0" applyNumberFormat="1" applyFill="1" applyBorder="1" applyAlignment="1">
      <alignment/>
    </xf>
    <xf numFmtId="164" fontId="0" fillId="0" borderId="4" xfId="0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165" fontId="0" fillId="0" borderId="4" xfId="0" applyNumberFormat="1" applyBorder="1" applyAlignment="1">
      <alignment/>
    </xf>
    <xf numFmtId="167" fontId="6" fillId="0" borderId="1" xfId="17" applyFont="1" applyFill="1" applyBorder="1" applyAlignment="1" applyProtection="1">
      <alignment/>
      <protection/>
    </xf>
    <xf numFmtId="168" fontId="6" fillId="0" borderId="1" xfId="17" applyNumberFormat="1" applyFont="1" applyFill="1" applyBorder="1" applyAlignment="1" applyProtection="1">
      <alignment/>
      <protection/>
    </xf>
    <xf numFmtId="167" fontId="0" fillId="0" borderId="1" xfId="17" applyFont="1" applyFill="1" applyBorder="1" applyAlignment="1" applyProtection="1">
      <alignment/>
      <protection/>
    </xf>
    <xf numFmtId="167" fontId="0" fillId="0" borderId="1" xfId="0" applyNumberFormat="1" applyFont="1" applyFill="1" applyBorder="1" applyAlignment="1">
      <alignment/>
    </xf>
    <xf numFmtId="167" fontId="0" fillId="0" borderId="1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7" fontId="7" fillId="0" borderId="1" xfId="17" applyFont="1" applyFill="1" applyBorder="1" applyAlignment="1" applyProtection="1">
      <alignment/>
      <protection/>
    </xf>
    <xf numFmtId="168" fontId="0" fillId="0" borderId="1" xfId="0" applyNumberFormat="1" applyBorder="1" applyAlignment="1">
      <alignment/>
    </xf>
    <xf numFmtId="168" fontId="0" fillId="0" borderId="1" xfId="0" applyBorder="1" applyAlignment="1">
      <alignment/>
    </xf>
    <xf numFmtId="166" fontId="0" fillId="0" borderId="1" xfId="0" applyNumberFormat="1" applyBorder="1" applyAlignment="1">
      <alignment horizontal="center"/>
    </xf>
    <xf numFmtId="168" fontId="0" fillId="0" borderId="1" xfId="17" applyNumberFormat="1" applyFont="1" applyFill="1" applyBorder="1" applyAlignment="1" applyProtection="1">
      <alignment horizontal="right"/>
      <protection/>
    </xf>
    <xf numFmtId="168" fontId="0" fillId="0" borderId="1" xfId="0" applyNumberFormat="1" applyBorder="1" applyAlignment="1">
      <alignment horizontal="right"/>
    </xf>
    <xf numFmtId="168" fontId="0" fillId="0" borderId="1" xfId="0" applyBorder="1" applyAlignment="1">
      <alignment/>
    </xf>
    <xf numFmtId="168" fontId="6" fillId="0" borderId="1" xfId="0" applyNumberFormat="1" applyFont="1" applyBorder="1" applyAlignment="1">
      <alignment/>
    </xf>
    <xf numFmtId="164" fontId="5" fillId="0" borderId="0" xfId="0" applyFont="1" applyAlignment="1">
      <alignment/>
    </xf>
    <xf numFmtId="167" fontId="0" fillId="0" borderId="1" xfId="17" applyFont="1" applyFill="1" applyBorder="1" applyAlignment="1" applyProtection="1">
      <alignment horizontal="right"/>
      <protection/>
    </xf>
    <xf numFmtId="167" fontId="0" fillId="0" borderId="1" xfId="0" applyNumberFormat="1" applyFont="1" applyBorder="1" applyAlignment="1">
      <alignment/>
    </xf>
    <xf numFmtId="164" fontId="4" fillId="0" borderId="1" xfId="0" applyFont="1" applyBorder="1" applyAlignment="1">
      <alignment horizontal="center"/>
    </xf>
    <xf numFmtId="167" fontId="0" fillId="0" borderId="1" xfId="0" applyNumberFormat="1" applyFill="1" applyBorder="1" applyAlignment="1">
      <alignment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justify"/>
    </xf>
    <xf numFmtId="17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RIFIUTI PRODOTTI E % RACCOLTA DIFFERENZIATA 1996-2012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'kg e %RD'!$B$39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Ref>
              <c:f>'kg e %RD'!$A$40:$A$57</c:f>
              <c:numCache/>
            </c:numRef>
          </c:cat>
          <c:val>
            <c:numRef>
              <c:f>'kg e %RD'!$B$40:$B$57</c:f>
              <c:numCache/>
            </c:numRef>
          </c:val>
          <c:smooth val="0"/>
        </c:ser>
        <c:ser>
          <c:idx val="1"/>
          <c:order val="1"/>
          <c:tx>
            <c:strRef>
              <c:f>'kg e %RD'!$C$39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Ref>
              <c:f>'kg e %RD'!$A$40:$A$57</c:f>
              <c:numCache/>
            </c:numRef>
          </c:cat>
          <c:val>
            <c:numRef>
              <c:f>'kg e %RD'!$C$40:$C$57</c:f>
              <c:numCache/>
            </c:numRef>
          </c:val>
          <c:smooth val="0"/>
        </c:ser>
        <c:marker val="1"/>
        <c:axId val="47823430"/>
        <c:axId val="27757687"/>
      </c:lineChart>
      <c:dateAx>
        <c:axId val="47823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757687"/>
        <c:crossesAt val="0"/>
        <c:auto val="0"/>
        <c:noMultiLvlLbl val="0"/>
      </c:dateAx>
      <c:valAx>
        <c:axId val="2775768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82343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SPESE E PRODUZIONE RIFIUTI, % RACCOLTA DIFFERENZIATA 1996-2011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'spese e _'!$B$24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Ref>
              <c:f>'spese e _'!$A$25:$A$42</c:f>
              <c:numCache/>
            </c:numRef>
          </c:cat>
          <c:val>
            <c:numRef>
              <c:f>'spese e _'!$B$25:$B$42</c:f>
              <c:numCache/>
            </c:numRef>
          </c:val>
          <c:smooth val="0"/>
        </c:ser>
        <c:ser>
          <c:idx val="1"/>
          <c:order val="1"/>
          <c:tx>
            <c:strRef>
              <c:f>'spese e _'!$C$24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Ref>
              <c:f>'spese e _'!$A$25:$A$42</c:f>
              <c:numCache/>
            </c:numRef>
          </c:cat>
          <c:val>
            <c:numRef>
              <c:f>'spese e _'!$C$25:$C$42</c:f>
              <c:numCache/>
            </c:numRef>
          </c:val>
          <c:smooth val="0"/>
        </c:ser>
        <c:ser>
          <c:idx val="2"/>
          <c:order val="2"/>
          <c:tx>
            <c:strRef>
              <c:f>'spese e _'!$D$24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Ref>
              <c:f>'spese e _'!$A$25:$A$42</c:f>
              <c:numCache/>
            </c:numRef>
          </c:cat>
          <c:val>
            <c:numRef>
              <c:f>'spese e _'!$D$25:$D$42</c:f>
              <c:numCache/>
            </c:numRef>
          </c:val>
          <c:smooth val="0"/>
        </c:ser>
        <c:marker val="1"/>
        <c:axId val="48492592"/>
        <c:axId val="33780145"/>
      </c:lineChart>
      <c:catAx>
        <c:axId val="4849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80145"/>
        <c:crossesAt val="0"/>
        <c:auto val="0"/>
        <c:lblOffset val="100"/>
        <c:noMultiLvlLbl val="0"/>
      </c:catAx>
      <c:valAx>
        <c:axId val="33780145"/>
        <c:scaling>
          <c:orientation val="minMax"/>
          <c:max val="65"/>
          <c:min val="1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9259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PRODUZIONE RIFIUTI / ABITANTI 2001-2012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'Totale kg x abitante'!$B$1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'Totale kg x abitante'!$A$2:$A$14</c:f>
              <c:numCache/>
            </c:numRef>
          </c:cat>
          <c:val>
            <c:numRef>
              <c:f>'Totale kg x abitante'!$B$2:$B$14</c:f>
              <c:numCache/>
            </c:numRef>
          </c:val>
          <c:smooth val="0"/>
        </c:ser>
        <c:ser>
          <c:idx val="1"/>
          <c:order val="1"/>
          <c:tx>
            <c:strRef>
              <c:f>'Totale kg x abitante'!$C$1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'Totale kg x abitante'!$A$2:$A$14</c:f>
              <c:numCache/>
            </c:numRef>
          </c:cat>
          <c:val>
            <c:numRef>
              <c:f>'Totale kg x abitante'!$C$2:$C$14</c:f>
              <c:numCache/>
            </c:numRef>
          </c:val>
          <c:smooth val="0"/>
        </c:ser>
        <c:ser>
          <c:idx val="2"/>
          <c:order val="2"/>
          <c:tx>
            <c:strRef>
              <c:f>'Totale kg x abitante'!$D$1</c:f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'Totale kg x abitante'!$A$2:$A$14</c:f>
              <c:numCache/>
            </c:numRef>
          </c:cat>
          <c:val>
            <c:numRef>
              <c:f>'Totale kg x abitante'!$D$2:$D$14</c:f>
              <c:numCache/>
            </c:numRef>
          </c:val>
          <c:smooth val="0"/>
        </c:ser>
        <c:marker val="1"/>
        <c:axId val="35585850"/>
        <c:axId val="51837195"/>
      </c:lineChart>
      <c:catAx>
        <c:axId val="35585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37195"/>
        <c:crosses val="autoZero"/>
        <c:auto val="0"/>
        <c:lblOffset val="100"/>
        <c:noMultiLvlLbl val="0"/>
      </c:catAx>
      <c:valAx>
        <c:axId val="51837195"/>
        <c:scaling>
          <c:orientation val="minMax"/>
          <c:min val="14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85850"/>
        <c:crossesAt val="1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kg/abitante raccolta differenziata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'RD kg x abitante e TREND % differenziata'!$B$17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'RD kg x abitante e TREND % differenziata'!$A$18:$A$31</c:f>
              <c:numCache/>
            </c:numRef>
          </c:cat>
          <c:val>
            <c:numRef>
              <c:f>'RD kg x abitante e TREND % differenziata'!$B$18:$B$31</c:f>
              <c:numCache/>
            </c:numRef>
          </c:val>
          <c:smooth val="0"/>
        </c:ser>
        <c:ser>
          <c:idx val="1"/>
          <c:order val="1"/>
          <c:tx>
            <c:strRef>
              <c:f>'RD kg x abitante e TREND % differenziata'!$C$17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'RD kg x abitante e TREND % differenziata'!$A$18:$A$31</c:f>
              <c:numCache/>
            </c:numRef>
          </c:cat>
          <c:val>
            <c:numRef>
              <c:f>'RD kg x abitante e TREND % differenziata'!$C$18:$C$31</c:f>
              <c:numCache/>
            </c:numRef>
          </c:val>
          <c:smooth val="0"/>
        </c:ser>
        <c:ser>
          <c:idx val="2"/>
          <c:order val="2"/>
          <c:tx>
            <c:strRef>
              <c:f>'RD kg x abitante e TREND % differenziata'!$D$17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'RD kg x abitante e TREND % differenziata'!$A$18:$A$31</c:f>
              <c:numCache/>
            </c:numRef>
          </c:cat>
          <c:val>
            <c:numRef>
              <c:f>'RD kg x abitante e TREND % differenziata'!$D$18:$D$31</c:f>
              <c:numCache/>
            </c:numRef>
          </c:val>
          <c:smooth val="0"/>
        </c:ser>
        <c:ser>
          <c:idx val="3"/>
          <c:order val="3"/>
          <c:tx>
            <c:strRef>
              <c:f>'RD kg x abitante e TREND % differenziata'!$E$17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'RD kg x abitante e TREND % differenziata'!$A$18:$A$31</c:f>
              <c:numCache/>
            </c:numRef>
          </c:cat>
          <c:val>
            <c:numRef>
              <c:f>'RD kg x abitante e TREND % differenziata'!$E$18:$E$31</c:f>
              <c:numCache/>
            </c:numRef>
          </c:val>
          <c:smooth val="0"/>
        </c:ser>
        <c:marker val="1"/>
        <c:axId val="63881572"/>
        <c:axId val="38063237"/>
      </c:lineChart>
      <c:catAx>
        <c:axId val="6388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063237"/>
        <c:crossesAt val="0"/>
        <c:auto val="0"/>
        <c:lblOffset val="100"/>
        <c:noMultiLvlLbl val="0"/>
      </c:catAx>
      <c:valAx>
        <c:axId val="38063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kg/abitante/anno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8157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% SUL TOTALE PRINCIPALI FRAZIONI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'RD kg x abitante e TREND % differenziata'!$C$68:$C$69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'RD kg x abitante e TREND % differenziata'!$B$70:$B$82</c:f>
              <c:numCache/>
            </c:numRef>
          </c:cat>
          <c:val>
            <c:numRef>
              <c:f>'RD kg x abitante e TREND % differenziata'!$C$70:$C$82</c:f>
              <c:numCache/>
            </c:numRef>
          </c:val>
          <c:smooth val="0"/>
        </c:ser>
        <c:ser>
          <c:idx val="1"/>
          <c:order val="1"/>
          <c:tx>
            <c:strRef>
              <c:f>'RD kg x abitante e TREND % differenziata'!$D$68:$D$69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'RD kg x abitante e TREND % differenziata'!$B$70:$B$82</c:f>
              <c:numCache/>
            </c:numRef>
          </c:cat>
          <c:val>
            <c:numRef>
              <c:f>'RD kg x abitante e TREND % differenziata'!$D$70:$D$82</c:f>
              <c:numCache/>
            </c:numRef>
          </c:val>
          <c:smooth val="0"/>
        </c:ser>
        <c:ser>
          <c:idx val="2"/>
          <c:order val="2"/>
          <c:tx>
            <c:strRef>
              <c:f>'RD kg x abitante e TREND % differenziata'!$E$68:$E$69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'RD kg x abitante e TREND % differenziata'!$B$70:$B$82</c:f>
              <c:numCache/>
            </c:numRef>
          </c:cat>
          <c:val>
            <c:numRef>
              <c:f>'RD kg x abitante e TREND % differenziata'!$E$70:$E$82</c:f>
              <c:numCache/>
            </c:numRef>
          </c:val>
          <c:smooth val="0"/>
        </c:ser>
        <c:ser>
          <c:idx val="3"/>
          <c:order val="3"/>
          <c:tx>
            <c:strRef>
              <c:f>'RD kg x abitante e TREND % differenziata'!$F$68:$F$69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'RD kg x abitante e TREND % differenziata'!$B$70:$B$82</c:f>
              <c:numCache/>
            </c:numRef>
          </c:cat>
          <c:val>
            <c:numRef>
              <c:f>'RD kg x abitante e TREND % differenziata'!$F$70:$F$82</c:f>
              <c:numCache/>
            </c:numRef>
          </c:val>
          <c:smooth val="0"/>
        </c:ser>
        <c:ser>
          <c:idx val="4"/>
          <c:order val="4"/>
          <c:tx>
            <c:strRef>
              <c:f>'RD kg x abitante e TREND % differenziata'!$G$68:$G$69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'RD kg x abitante e TREND % differenziata'!$B$70:$B$82</c:f>
              <c:numCache/>
            </c:numRef>
          </c:cat>
          <c:val>
            <c:numRef>
              <c:f>'RD kg x abitante e TREND % differenziata'!$G$70:$G$82</c:f>
              <c:numCache/>
            </c:numRef>
          </c:val>
          <c:smooth val="0"/>
        </c:ser>
        <c:marker val="1"/>
        <c:axId val="7024814"/>
        <c:axId val="63223327"/>
      </c:lineChart>
      <c:catAx>
        <c:axId val="7024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23327"/>
        <c:crossesAt val="0"/>
        <c:auto val="0"/>
        <c:lblOffset val="100"/>
        <c:noMultiLvlLbl val="0"/>
      </c:catAx>
      <c:valAx>
        <c:axId val="6322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02481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1998-2012 SECCO-UMIDO-CARTA-PLASTICA-VETRO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79"/>
          <c:w val="0.7042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'SECCO _ UMIDO_CARTA_PLASTICA_VETRO'!$B$1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'SECCO _ UMIDO_CARTA_PLASTICA_VETRO'!$A$2:$A$17</c:f>
              <c:numCache/>
            </c:numRef>
          </c:cat>
          <c:val>
            <c:numRef>
              <c:f>'SECCO _ UMIDO_CARTA_PLASTICA_VETRO'!$B$2:$B$17</c:f>
              <c:numCache/>
            </c:numRef>
          </c:val>
          <c:smooth val="0"/>
        </c:ser>
        <c:ser>
          <c:idx val="1"/>
          <c:order val="1"/>
          <c:tx>
            <c:strRef>
              <c:f>'SECCO _ UMIDO_CARTA_PLASTICA_VETRO'!$C$1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'SECCO _ UMIDO_CARTA_PLASTICA_VETRO'!$A$2:$A$17</c:f>
              <c:numCache/>
            </c:numRef>
          </c:cat>
          <c:val>
            <c:numRef>
              <c:f>'SECCO _ UMIDO_CARTA_PLASTICA_VETRO'!$C$2:$C$17</c:f>
              <c:numCache/>
            </c:numRef>
          </c:val>
          <c:smooth val="0"/>
        </c:ser>
        <c:ser>
          <c:idx val="2"/>
          <c:order val="2"/>
          <c:tx>
            <c:strRef>
              <c:f>'SECCO _ UMIDO_CARTA_PLASTICA_VETRO'!$D$1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'SECCO _ UMIDO_CARTA_PLASTICA_VETRO'!$A$2:$A$17</c:f>
              <c:numCache/>
            </c:numRef>
          </c:cat>
          <c:val>
            <c:numRef>
              <c:f>'SECCO _ UMIDO_CARTA_PLASTICA_VETRO'!$D$2:$D$17</c:f>
              <c:numCache/>
            </c:numRef>
          </c:val>
          <c:smooth val="0"/>
        </c:ser>
        <c:ser>
          <c:idx val="3"/>
          <c:order val="3"/>
          <c:tx>
            <c:strRef>
              <c:f>'SECCO _ UMIDO_CARTA_PLASTICA_VETRO'!$E$1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'SECCO _ UMIDO_CARTA_PLASTICA_VETRO'!$A$2:$A$17</c:f>
              <c:numCache/>
            </c:numRef>
          </c:cat>
          <c:val>
            <c:numRef>
              <c:f>'SECCO _ UMIDO_CARTA_PLASTICA_VETRO'!$E$2:$E$17</c:f>
              <c:numCache/>
            </c:numRef>
          </c:val>
          <c:smooth val="0"/>
        </c:ser>
        <c:ser>
          <c:idx val="4"/>
          <c:order val="4"/>
          <c:tx>
            <c:strRef>
              <c:f>'SECCO _ UMIDO_CARTA_PLASTICA_VETRO'!$F$1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'SECCO _ UMIDO_CARTA_PLASTICA_VETRO'!$A$2:$A$17</c:f>
              <c:numCache/>
            </c:numRef>
          </c:cat>
          <c:val>
            <c:numRef>
              <c:f>'SECCO _ UMIDO_CARTA_PLASTICA_VETRO'!$F$2:$F$17</c:f>
              <c:numCache/>
            </c:numRef>
          </c:val>
          <c:smooth val="0"/>
        </c:ser>
        <c:ser>
          <c:idx val="5"/>
          <c:order val="5"/>
          <c:tx>
            <c:strRef>
              <c:f>'SECCO _ UMIDO_CARTA_PLASTICA_VETRO'!$G$1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3CAFF"/>
                </a:solidFill>
              </a:ln>
            </c:spPr>
          </c:marker>
          <c:cat>
            <c:numRef>
              <c:f>'SECCO _ UMIDO_CARTA_PLASTICA_VETRO'!$A$2:$A$17</c:f>
              <c:numCache/>
            </c:numRef>
          </c:cat>
          <c:val>
            <c:numRef>
              <c:f>'SECCO _ UMIDO_CARTA_PLASTICA_VETRO'!$G$2:$G$17</c:f>
              <c:numCache/>
            </c:numRef>
          </c:val>
          <c:smooth val="0"/>
        </c:ser>
        <c:marker val="1"/>
        <c:axId val="32139032"/>
        <c:axId val="20815833"/>
      </c:lineChart>
      <c:catAx>
        <c:axId val="32139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2700000"/>
          <a:lstStyle/>
          <a:p>
            <a:pPr>
              <a:defRPr lang="en-US" cap="none" sz="1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15833"/>
        <c:crosses val="autoZero"/>
        <c:auto val="0"/>
        <c:lblOffset val="100"/>
        <c:noMultiLvlLbl val="0"/>
      </c:catAx>
      <c:valAx>
        <c:axId val="20815833"/>
        <c:scaling>
          <c:orientation val="minMax"/>
          <c:max val="385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3903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123825</xdr:rowOff>
    </xdr:from>
    <xdr:to>
      <xdr:col>6</xdr:col>
      <xdr:colOff>419100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38100" y="123825"/>
        <a:ext cx="78105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32</xdr:row>
      <xdr:rowOff>142875</xdr:rowOff>
    </xdr:from>
    <xdr:to>
      <xdr:col>12</xdr:col>
      <xdr:colOff>495300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3743325" y="5505450"/>
        <a:ext cx="81819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15</xdr:row>
      <xdr:rowOff>104775</xdr:rowOff>
    </xdr:from>
    <xdr:to>
      <xdr:col>11</xdr:col>
      <xdr:colOff>419100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161925" y="2533650"/>
        <a:ext cx="89058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161925</xdr:rowOff>
    </xdr:from>
    <xdr:to>
      <xdr:col>12</xdr:col>
      <xdr:colOff>200025</xdr:colOff>
      <xdr:row>64</xdr:row>
      <xdr:rowOff>133350</xdr:rowOff>
    </xdr:to>
    <xdr:graphicFrame>
      <xdr:nvGraphicFramePr>
        <xdr:cNvPr id="1" name="Chart 1"/>
        <xdr:cNvGraphicFramePr/>
      </xdr:nvGraphicFramePr>
      <xdr:xfrm>
        <a:off x="790575" y="5343525"/>
        <a:ext cx="86677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83</xdr:row>
      <xdr:rowOff>142875</xdr:rowOff>
    </xdr:from>
    <xdr:to>
      <xdr:col>9</xdr:col>
      <xdr:colOff>523875</xdr:colOff>
      <xdr:row>116</xdr:row>
      <xdr:rowOff>57150</xdr:rowOff>
    </xdr:to>
    <xdr:graphicFrame>
      <xdr:nvGraphicFramePr>
        <xdr:cNvPr id="2" name="Chart 2"/>
        <xdr:cNvGraphicFramePr/>
      </xdr:nvGraphicFramePr>
      <xdr:xfrm>
        <a:off x="0" y="13887450"/>
        <a:ext cx="746760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38100</xdr:rowOff>
    </xdr:from>
    <xdr:to>
      <xdr:col>11</xdr:col>
      <xdr:colOff>171450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0" y="3276600"/>
        <a:ext cx="88677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7:D57"/>
  <sheetViews>
    <sheetView zoomScale="110" zoomScaleNormal="110" workbookViewId="0" topLeftCell="A22">
      <selection activeCell="D44" sqref="D44"/>
    </sheetView>
  </sheetViews>
  <sheetFormatPr defaultColWidth="12.57421875" defaultRowHeight="12.75"/>
  <cols>
    <col min="1" max="1" width="11.57421875" style="0" customWidth="1"/>
    <col min="2" max="2" width="29.00390625" style="0" customWidth="1"/>
    <col min="3" max="3" width="31.7109375" style="0" customWidth="1"/>
    <col min="4" max="4" width="16.00390625" style="0" customWidth="1"/>
    <col min="5" max="16384" width="11.57421875" style="0" customWidth="1"/>
  </cols>
  <sheetData>
    <row r="37" spans="1:4" ht="12.75" customHeight="1">
      <c r="A37" s="1" t="s">
        <v>0</v>
      </c>
      <c r="B37" s="2" t="s">
        <v>1</v>
      </c>
      <c r="C37" s="2" t="s">
        <v>2</v>
      </c>
      <c r="D37" s="3" t="s">
        <v>3</v>
      </c>
    </row>
    <row r="38" spans="1:4" ht="12.75">
      <c r="A38" s="1"/>
      <c r="B38" s="1"/>
      <c r="C38" s="1"/>
      <c r="D38" s="1"/>
    </row>
    <row r="39" spans="1:4" ht="12.75">
      <c r="A39" s="1" t="s">
        <v>0</v>
      </c>
      <c r="B39" s="1" t="s">
        <v>1</v>
      </c>
      <c r="C39" s="1" t="s">
        <v>2</v>
      </c>
      <c r="D39" s="1" t="s">
        <v>3</v>
      </c>
    </row>
    <row r="40" spans="1:4" ht="12.75">
      <c r="A40" s="4">
        <v>1996</v>
      </c>
      <c r="B40" s="5">
        <v>13.381</v>
      </c>
      <c r="C40" s="6">
        <v>10.08</v>
      </c>
      <c r="D40" s="7">
        <f>B40/32987*1000000</f>
        <v>405.64464789159365</v>
      </c>
    </row>
    <row r="41" spans="1:4" ht="12.75">
      <c r="A41" s="4">
        <v>1997</v>
      </c>
      <c r="B41" s="5">
        <v>13.86</v>
      </c>
      <c r="C41" s="6">
        <v>15.95</v>
      </c>
      <c r="D41" s="7">
        <f>B41/32861*1000000</f>
        <v>421.77657405435014</v>
      </c>
    </row>
    <row r="42" spans="1:4" ht="12.75">
      <c r="A42" s="4">
        <v>1998</v>
      </c>
      <c r="B42" s="5">
        <v>13.654</v>
      </c>
      <c r="C42" s="6">
        <v>48.43</v>
      </c>
      <c r="D42" s="7">
        <f>B42/32983*1000000</f>
        <v>413.97083345966104</v>
      </c>
    </row>
    <row r="43" spans="1:4" ht="12.75">
      <c r="A43" s="4">
        <v>1999</v>
      </c>
      <c r="B43" s="5">
        <v>13.9</v>
      </c>
      <c r="C43" s="6">
        <v>50.09</v>
      </c>
      <c r="D43" s="7">
        <f>B43/32922*1000000</f>
        <v>422.2100722920843</v>
      </c>
    </row>
    <row r="44" spans="1:4" ht="12.75">
      <c r="A44" s="4">
        <v>2000</v>
      </c>
      <c r="B44" s="8">
        <v>15.724</v>
      </c>
      <c r="C44" s="8">
        <v>48.94</v>
      </c>
      <c r="D44" s="7">
        <f>B44/32664*1000000</f>
        <v>481.3862356110703</v>
      </c>
    </row>
    <row r="45" spans="1:4" ht="12.75">
      <c r="A45" s="4">
        <v>2001</v>
      </c>
      <c r="B45" s="8">
        <v>16.81</v>
      </c>
      <c r="C45" s="8">
        <v>54.64</v>
      </c>
      <c r="D45" s="7">
        <f>B45/33499*1000000</f>
        <v>501.8060240604197</v>
      </c>
    </row>
    <row r="46" spans="1:4" ht="12.75">
      <c r="A46" s="4">
        <v>2002</v>
      </c>
      <c r="B46" s="8">
        <v>16.93</v>
      </c>
      <c r="C46" s="8">
        <v>54.58</v>
      </c>
      <c r="D46" s="7">
        <f>B46/33586*1000000</f>
        <v>504.0790805692848</v>
      </c>
    </row>
    <row r="47" spans="1:4" ht="12.75">
      <c r="A47" s="4">
        <v>2003</v>
      </c>
      <c r="B47" s="8">
        <v>16.597</v>
      </c>
      <c r="C47" s="8">
        <v>54.62</v>
      </c>
      <c r="D47" s="7">
        <f>B47/33700*1000000</f>
        <v>492.4925816023739</v>
      </c>
    </row>
    <row r="48" spans="1:4" ht="12.75">
      <c r="A48" s="4">
        <v>2004</v>
      </c>
      <c r="B48" s="8">
        <v>15.975</v>
      </c>
      <c r="C48" s="8">
        <v>53.87</v>
      </c>
      <c r="D48" s="7">
        <f>B48/33789*1000000</f>
        <v>472.7870016869395</v>
      </c>
    </row>
    <row r="49" spans="1:4" ht="12.75">
      <c r="A49" s="9">
        <v>2005</v>
      </c>
      <c r="B49" s="10">
        <v>15.03</v>
      </c>
      <c r="C49" s="11">
        <v>54.46</v>
      </c>
      <c r="D49" s="7">
        <f>B49/33916*1000000</f>
        <v>443.15367378228564</v>
      </c>
    </row>
    <row r="50" spans="1:4" ht="12.75">
      <c r="A50" s="9">
        <v>2006</v>
      </c>
      <c r="B50" s="12">
        <v>14.982</v>
      </c>
      <c r="C50" s="13">
        <v>53.09</v>
      </c>
      <c r="D50" s="7">
        <f>B50/34317*1000000</f>
        <v>436.5766238307544</v>
      </c>
    </row>
    <row r="51" spans="1:4" ht="12.75">
      <c r="A51" s="9">
        <v>2007</v>
      </c>
      <c r="B51" s="12">
        <v>15.077</v>
      </c>
      <c r="C51" s="13">
        <v>53.55</v>
      </c>
      <c r="D51" s="7">
        <f>B51/34496*1000000</f>
        <v>437.06516697588125</v>
      </c>
    </row>
    <row r="52" spans="1:4" ht="12.75">
      <c r="A52" s="9">
        <v>2008</v>
      </c>
      <c r="B52" s="12">
        <v>16.044</v>
      </c>
      <c r="C52" s="13">
        <v>55.99</v>
      </c>
      <c r="D52" s="7">
        <f>B52/34750*1000000</f>
        <v>461.6978417266187</v>
      </c>
    </row>
    <row r="53" spans="1:4" ht="12.75">
      <c r="A53" s="9">
        <v>2009</v>
      </c>
      <c r="B53" s="12">
        <v>15.07</v>
      </c>
      <c r="C53" s="13">
        <v>55.49</v>
      </c>
      <c r="D53" s="7">
        <f>B53/35498*1000000</f>
        <v>424.53095949067557</v>
      </c>
    </row>
    <row r="54" spans="1:4" ht="12.75">
      <c r="A54" s="4">
        <v>2010</v>
      </c>
      <c r="B54" s="8">
        <v>15.5</v>
      </c>
      <c r="C54" s="8">
        <v>61.74</v>
      </c>
      <c r="D54" s="14">
        <f>B54/36369*1000000</f>
        <v>426.1871373972339</v>
      </c>
    </row>
    <row r="55" spans="1:4" ht="12.75">
      <c r="A55" s="4">
        <v>2011</v>
      </c>
      <c r="B55" s="8">
        <v>15.034</v>
      </c>
      <c r="C55" s="8">
        <v>62.38</v>
      </c>
      <c r="D55" s="14">
        <f>B55/36930*1000000</f>
        <v>407.09450311399945</v>
      </c>
    </row>
    <row r="56" spans="1:4" ht="12.75">
      <c r="A56" s="4">
        <v>2012</v>
      </c>
      <c r="B56" s="8">
        <v>14.503</v>
      </c>
      <c r="C56" s="8">
        <v>60.86</v>
      </c>
      <c r="D56" s="14">
        <f>B56/37666*1000000</f>
        <v>385.04221313651567</v>
      </c>
    </row>
    <row r="57" spans="1:4" ht="12.75">
      <c r="A57" s="4">
        <v>2013</v>
      </c>
      <c r="B57" s="8">
        <v>14.628</v>
      </c>
      <c r="C57" s="8">
        <v>61.53</v>
      </c>
      <c r="D57" s="14">
        <f>B57/38116*1000000</f>
        <v>383.7758421660195</v>
      </c>
    </row>
  </sheetData>
  <sheetProtection selectLockedCells="1" selectUnlockedCells="1"/>
  <mergeCells count="4">
    <mergeCell ref="A37:A38"/>
    <mergeCell ref="B37:B38"/>
    <mergeCell ref="C37:C38"/>
    <mergeCell ref="D37:D3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zoomScale="110" zoomScaleNormal="110" workbookViewId="0" topLeftCell="A16">
      <selection activeCell="A24" sqref="A24"/>
    </sheetView>
  </sheetViews>
  <sheetFormatPr defaultColWidth="9.140625" defaultRowHeight="12.75"/>
  <cols>
    <col min="1" max="1" width="6.28125" style="0" customWidth="1"/>
    <col min="2" max="2" width="14.7109375" style="0" customWidth="1"/>
    <col min="3" max="3" width="14.8515625" style="0" customWidth="1"/>
    <col min="4" max="5" width="16.57421875" style="0" customWidth="1"/>
    <col min="6" max="6" width="14.7109375" style="0" customWidth="1"/>
    <col min="7" max="7" width="16.57421875" style="0" customWidth="1"/>
    <col min="8" max="8" width="18.28125" style="0" customWidth="1"/>
    <col min="9" max="9" width="17.140625" style="0" customWidth="1"/>
    <col min="10" max="10" width="11.00390625" style="0" customWidth="1"/>
    <col min="11" max="11" width="15.57421875" style="0" customWidth="1"/>
  </cols>
  <sheetData>
    <row r="1" spans="1:12" ht="12.75" customHeight="1">
      <c r="A1" s="15" t="s">
        <v>0</v>
      </c>
      <c r="B1" s="16" t="s">
        <v>4</v>
      </c>
      <c r="C1" s="16" t="s">
        <v>5</v>
      </c>
      <c r="D1" s="16" t="s">
        <v>6</v>
      </c>
      <c r="E1" s="16" t="s">
        <v>7</v>
      </c>
      <c r="F1" s="16" t="s">
        <v>8</v>
      </c>
      <c r="G1" s="16" t="s">
        <v>9</v>
      </c>
      <c r="H1" s="16" t="s">
        <v>1</v>
      </c>
      <c r="I1" s="17" t="s">
        <v>2</v>
      </c>
      <c r="J1" s="18" t="s">
        <v>3</v>
      </c>
      <c r="K1" s="18" t="s">
        <v>10</v>
      </c>
      <c r="L1" s="19"/>
    </row>
    <row r="2" spans="1:12" ht="27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2.75" customHeight="1">
      <c r="A3" s="15" t="s">
        <v>0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</v>
      </c>
      <c r="I3" s="15" t="s">
        <v>2</v>
      </c>
      <c r="J3" s="15" t="s">
        <v>3</v>
      </c>
      <c r="K3" s="15" t="s">
        <v>10</v>
      </c>
      <c r="L3" s="15"/>
    </row>
    <row r="4" spans="1:12" ht="12.75">
      <c r="A4" s="20">
        <v>1996</v>
      </c>
      <c r="B4" s="21"/>
      <c r="C4" s="22"/>
      <c r="D4" s="22"/>
      <c r="E4" s="22"/>
      <c r="F4" s="22"/>
      <c r="G4" s="23">
        <f>5634660992/1936.27/100000</f>
        <v>29.100595433488095</v>
      </c>
      <c r="H4" s="22">
        <v>13.381</v>
      </c>
      <c r="I4" s="24">
        <v>10.08</v>
      </c>
      <c r="J4" s="25">
        <f>H4/32987*1000000</f>
        <v>405.64464789159365</v>
      </c>
      <c r="K4" s="26">
        <f>G4/32987*100000</f>
        <v>88.21837521898959</v>
      </c>
      <c r="L4" s="20">
        <v>1996</v>
      </c>
    </row>
    <row r="5" spans="1:12" ht="12.75">
      <c r="A5" s="20">
        <v>1997</v>
      </c>
      <c r="B5" s="21"/>
      <c r="C5" s="22"/>
      <c r="D5" s="22"/>
      <c r="E5" s="22"/>
      <c r="F5" s="22"/>
      <c r="G5" s="23">
        <f>6661270497/1936.27/100000</f>
        <v>34.402591048769025</v>
      </c>
      <c r="H5" s="22">
        <v>13.86</v>
      </c>
      <c r="I5" s="24">
        <v>15.95</v>
      </c>
      <c r="J5" s="25">
        <f>H5/32861*1000000</f>
        <v>421.77657405435014</v>
      </c>
      <c r="K5" s="26">
        <f>G5/32861*100000</f>
        <v>104.69124813234237</v>
      </c>
      <c r="L5" s="20">
        <v>1997</v>
      </c>
    </row>
    <row r="6" spans="1:12" ht="12.75">
      <c r="A6" s="20">
        <v>1998</v>
      </c>
      <c r="B6" s="21"/>
      <c r="C6" s="22"/>
      <c r="D6" s="22"/>
      <c r="E6" s="22"/>
      <c r="F6" s="22"/>
      <c r="G6" s="23">
        <f>4655003286/1936.27/100000</f>
        <v>24.0410856233893</v>
      </c>
      <c r="H6" s="22">
        <v>13.654</v>
      </c>
      <c r="I6" s="24">
        <v>48.43</v>
      </c>
      <c r="J6" s="25">
        <f>H6/32983*1000000</f>
        <v>413.97083345966104</v>
      </c>
      <c r="K6" s="26">
        <f>G6/32983*100000</f>
        <v>72.88932366185398</v>
      </c>
      <c r="L6" s="20">
        <v>1998</v>
      </c>
    </row>
    <row r="7" spans="1:12" ht="12.75">
      <c r="A7" s="20">
        <v>1999</v>
      </c>
      <c r="B7" s="21"/>
      <c r="C7" s="22"/>
      <c r="D7" s="22"/>
      <c r="E7" s="22"/>
      <c r="F7" s="22"/>
      <c r="G7" s="23">
        <f>4748953783/1936.27/100000</f>
        <v>24.52629944687466</v>
      </c>
      <c r="H7" s="22">
        <v>13.9</v>
      </c>
      <c r="I7" s="24">
        <v>50.09</v>
      </c>
      <c r="J7" s="25">
        <f>H7/32922*1000000</f>
        <v>422.2100722920843</v>
      </c>
      <c r="K7" s="26">
        <f>G7/32922*100000</f>
        <v>74.4982062051961</v>
      </c>
      <c r="L7" s="20">
        <v>1999</v>
      </c>
    </row>
    <row r="8" spans="1:12" ht="12.75">
      <c r="A8" s="20">
        <v>2000</v>
      </c>
      <c r="B8" s="27">
        <f>2698305840/1936.27</f>
        <v>1393558.6669214522</v>
      </c>
      <c r="C8" s="27">
        <f>209916294/1936.27</f>
        <v>108412.71826759698</v>
      </c>
      <c r="D8" s="27">
        <f>90820348/1936.27</f>
        <v>46904.79530230805</v>
      </c>
      <c r="E8" s="27">
        <f>1142124720/1936.27</f>
        <v>589858.191264648</v>
      </c>
      <c r="F8" s="27">
        <f>450457960/1936.27</f>
        <v>232642.12119177595</v>
      </c>
      <c r="G8" s="26">
        <f>(SUM(D8:F8)+B8+C8)/100000</f>
        <v>23.71376492947781</v>
      </c>
      <c r="H8" s="28">
        <v>15.724</v>
      </c>
      <c r="I8" s="29">
        <v>48.94</v>
      </c>
      <c r="J8" s="25">
        <f>H8/32664*1000000</f>
        <v>481.3862356110703</v>
      </c>
      <c r="K8" s="26">
        <f>G8/32664*100000</f>
        <v>72.59908440325071</v>
      </c>
      <c r="L8" s="20">
        <v>2000</v>
      </c>
    </row>
    <row r="9" spans="1:12" ht="12.75">
      <c r="A9" s="20">
        <v>2001</v>
      </c>
      <c r="B9" s="27">
        <v>1431449.39</v>
      </c>
      <c r="C9" s="27">
        <f>109911461/1936.27</f>
        <v>56764.53232245503</v>
      </c>
      <c r="D9" s="27">
        <f>128954257/1936.27</f>
        <v>66599.31569460871</v>
      </c>
      <c r="E9" s="27">
        <f>857067915/1936.27</f>
        <v>442638.63768999156</v>
      </c>
      <c r="F9" s="27">
        <f>365898500/1936.27</f>
        <v>188970.80469149447</v>
      </c>
      <c r="G9" s="30">
        <f>(SUM(D9:F9)+B9+C9)/100000</f>
        <v>21.8642268039855</v>
      </c>
      <c r="H9" s="28">
        <v>16.81</v>
      </c>
      <c r="I9" s="29">
        <v>54.64</v>
      </c>
      <c r="J9" s="25">
        <f>H9/33499*1000000</f>
        <v>501.8060240604197</v>
      </c>
      <c r="K9" s="26">
        <f>G9/33489*100000</f>
        <v>65.28778644923855</v>
      </c>
      <c r="L9" s="20">
        <v>2001</v>
      </c>
    </row>
    <row r="10" spans="1:12" ht="12.75">
      <c r="A10" s="20">
        <v>2002</v>
      </c>
      <c r="B10" s="27">
        <v>1467829.23</v>
      </c>
      <c r="C10" s="27">
        <v>70059</v>
      </c>
      <c r="D10" s="27">
        <v>77476</v>
      </c>
      <c r="E10" s="27">
        <v>371089</v>
      </c>
      <c r="F10" s="27">
        <v>180132</v>
      </c>
      <c r="G10" s="26">
        <f>(SUM(D10:F10)+B10+C10)/100000</f>
        <v>21.6658523</v>
      </c>
      <c r="H10" s="28">
        <v>16.93</v>
      </c>
      <c r="I10" s="29">
        <v>54.58</v>
      </c>
      <c r="J10" s="25">
        <f>H10/33586*1000000</f>
        <v>504.0790805692848</v>
      </c>
      <c r="K10" s="26">
        <f>21.67/33586*100000</f>
        <v>64.52093134043947</v>
      </c>
      <c r="L10" s="20">
        <v>2002</v>
      </c>
    </row>
    <row r="11" spans="1:12" ht="12.75">
      <c r="A11" s="20">
        <v>2003</v>
      </c>
      <c r="B11" s="27">
        <v>1620959.82</v>
      </c>
      <c r="C11" s="27">
        <v>56414</v>
      </c>
      <c r="D11" s="27">
        <v>84922</v>
      </c>
      <c r="E11" s="27">
        <v>359948</v>
      </c>
      <c r="F11" s="27">
        <v>205381</v>
      </c>
      <c r="G11" s="26">
        <f>(SUM(D11:F11)+B11+C11)/100000</f>
        <v>23.2762482</v>
      </c>
      <c r="H11" s="28">
        <v>16.597</v>
      </c>
      <c r="I11" s="29">
        <v>54.62</v>
      </c>
      <c r="J11" s="25">
        <f>H11/33700*1000000</f>
        <v>492.4925816023739</v>
      </c>
      <c r="K11" s="26">
        <f>G11/33700*100000</f>
        <v>69.06898575667657</v>
      </c>
      <c r="L11" s="20">
        <v>2003</v>
      </c>
    </row>
    <row r="12" spans="1:12" ht="12.75">
      <c r="A12" s="31">
        <v>2004</v>
      </c>
      <c r="B12" s="32">
        <v>2115908.17</v>
      </c>
      <c r="C12" s="33">
        <v>45889.1</v>
      </c>
      <c r="D12" s="33">
        <v>36695.48</v>
      </c>
      <c r="E12" s="32">
        <v>429885.27</v>
      </c>
      <c r="F12" s="32">
        <v>225297.65</v>
      </c>
      <c r="G12" s="34">
        <f>(SUM(D12:F12)+B12)/100000</f>
        <v>28.077865699999997</v>
      </c>
      <c r="H12" s="35">
        <v>15.98</v>
      </c>
      <c r="I12" s="36">
        <v>53.87</v>
      </c>
      <c r="J12" s="25">
        <f>H12/33789*1000000</f>
        <v>472.9349788392672</v>
      </c>
      <c r="K12" s="26">
        <f>G12/33789*100000</f>
        <v>83.09765219450117</v>
      </c>
      <c r="L12" s="20">
        <v>2004</v>
      </c>
    </row>
    <row r="13" spans="1:12" ht="12.75">
      <c r="A13" s="37">
        <v>2005</v>
      </c>
      <c r="B13" s="38">
        <v>2616000</v>
      </c>
      <c r="C13" s="39">
        <v>0</v>
      </c>
      <c r="D13" s="39">
        <v>0</v>
      </c>
      <c r="E13" s="32">
        <v>437188</v>
      </c>
      <c r="F13" s="32">
        <v>221272</v>
      </c>
      <c r="G13" s="40">
        <f>(SUM(D13:F13)+B13)/100000</f>
        <v>32.7446</v>
      </c>
      <c r="H13" s="41">
        <v>15.975</v>
      </c>
      <c r="I13" s="42">
        <v>54.46</v>
      </c>
      <c r="J13" s="43">
        <f>H13/33916*1000000</f>
        <v>471.0166293194952</v>
      </c>
      <c r="K13" s="26">
        <f>G13/33916*100000</f>
        <v>96.54617289774737</v>
      </c>
      <c r="L13" s="37">
        <v>2005</v>
      </c>
    </row>
    <row r="14" spans="1:23" s="50" customFormat="1" ht="12.75">
      <c r="A14" s="9">
        <v>2006</v>
      </c>
      <c r="B14" s="44">
        <f>2647772.91</f>
        <v>2647772.91</v>
      </c>
      <c r="C14" s="45">
        <v>0</v>
      </c>
      <c r="D14" s="45">
        <v>0</v>
      </c>
      <c r="E14" s="46">
        <v>464074</v>
      </c>
      <c r="F14" s="46">
        <v>272275</v>
      </c>
      <c r="G14" s="47">
        <f>(SUM(B14:F14))/100000</f>
        <v>33.8412191</v>
      </c>
      <c r="H14" s="12">
        <v>14.982</v>
      </c>
      <c r="I14" s="13">
        <v>53.09</v>
      </c>
      <c r="J14" s="7">
        <f>H14/34317*1000000</f>
        <v>436.5766238307544</v>
      </c>
      <c r="K14" s="48">
        <f>G14/34317*100000</f>
        <v>98.61357082495557</v>
      </c>
      <c r="L14" s="9">
        <v>2006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</row>
    <row r="15" spans="1:256" s="51" customFormat="1" ht="12.75">
      <c r="A15" s="9">
        <v>2007</v>
      </c>
      <c r="B15" s="44">
        <v>2708232.79</v>
      </c>
      <c r="C15" s="45">
        <v>0</v>
      </c>
      <c r="D15" s="45">
        <v>0</v>
      </c>
      <c r="E15" s="46">
        <v>467441.63</v>
      </c>
      <c r="F15" s="46">
        <v>307266.16</v>
      </c>
      <c r="G15" s="47">
        <f>SUM(B15:F15)/100000</f>
        <v>34.8294058</v>
      </c>
      <c r="H15" s="12">
        <v>15.077</v>
      </c>
      <c r="I15" s="13">
        <v>53.55</v>
      </c>
      <c r="J15" s="7">
        <f>H15/34496*1000000</f>
        <v>437.06516697588125</v>
      </c>
      <c r="K15" s="48">
        <f>G15/34496*100000</f>
        <v>100.96650568181819</v>
      </c>
      <c r="L15" s="9">
        <v>2007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IV15" s="52"/>
    </row>
    <row r="16" spans="1:256" s="51" customFormat="1" ht="12.75">
      <c r="A16" s="9">
        <v>2008</v>
      </c>
      <c r="B16" s="44">
        <v>2720202.84</v>
      </c>
      <c r="C16" s="45">
        <v>0</v>
      </c>
      <c r="D16" s="45">
        <v>0</v>
      </c>
      <c r="E16" s="46">
        <v>462149.65</v>
      </c>
      <c r="F16" s="46">
        <v>314449.11</v>
      </c>
      <c r="G16" s="47">
        <f>(B16+E16+F16)/100000</f>
        <v>34.968016</v>
      </c>
      <c r="H16" s="12">
        <v>16.044</v>
      </c>
      <c r="I16" s="13">
        <v>55.99</v>
      </c>
      <c r="J16" s="7">
        <f>H16/34750*1000000</f>
        <v>461.6978417266187</v>
      </c>
      <c r="K16" s="48">
        <f>G16/34496*100000</f>
        <v>101.36832096474953</v>
      </c>
      <c r="L16" s="9">
        <v>2008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IV16" s="52"/>
    </row>
    <row r="17" spans="1:256" s="51" customFormat="1" ht="12.75">
      <c r="A17" s="9">
        <v>2009</v>
      </c>
      <c r="B17" s="53">
        <f>((218970.22+8710.87)*6)+((228044.34+10705.9)*6)</f>
        <v>2798587.98</v>
      </c>
      <c r="C17" s="45">
        <v>0</v>
      </c>
      <c r="D17" s="45">
        <v>0</v>
      </c>
      <c r="E17" s="46">
        <v>429410.47</v>
      </c>
      <c r="F17" s="46">
        <v>323036.16</v>
      </c>
      <c r="G17" s="47">
        <f>(B17+E17+F17)/100000</f>
        <v>35.51034610000001</v>
      </c>
      <c r="H17" s="12">
        <v>15.07</v>
      </c>
      <c r="I17" s="13">
        <v>55.49</v>
      </c>
      <c r="J17" s="7">
        <f>H17/35498*1000000</f>
        <v>424.53095949067557</v>
      </c>
      <c r="K17" s="48">
        <f>G17/35498*100000</f>
        <v>100.03477970589896</v>
      </c>
      <c r="L17" s="9">
        <v>2009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IV17" s="52"/>
    </row>
    <row r="18" spans="1:12" ht="12.75">
      <c r="A18" s="4">
        <v>2010</v>
      </c>
      <c r="B18" s="54">
        <f>(225041.66*10)+(228044.34*2)+(8710.87*2)</f>
        <v>2723927.0200000005</v>
      </c>
      <c r="C18" s="54">
        <v>0</v>
      </c>
      <c r="D18" s="54">
        <v>0</v>
      </c>
      <c r="E18" s="46">
        <v>450898.25</v>
      </c>
      <c r="F18" s="46">
        <v>360782.94</v>
      </c>
      <c r="G18" s="55">
        <f>(B18+E18+F18)/100000</f>
        <v>35.3560821</v>
      </c>
      <c r="H18" s="8">
        <v>15.5</v>
      </c>
      <c r="I18" s="56">
        <v>61.74</v>
      </c>
      <c r="J18" s="7">
        <f>H18/36369*1000000</f>
        <v>426.1871373972339</v>
      </c>
      <c r="K18" s="55">
        <f>G18/36369*100000</f>
        <v>97.21488657922957</v>
      </c>
      <c r="L18" s="4">
        <v>2010</v>
      </c>
    </row>
    <row r="19" spans="1:12" ht="12.75">
      <c r="A19" s="4">
        <v>2011</v>
      </c>
      <c r="B19" s="54">
        <v>2721732.8</v>
      </c>
      <c r="C19" s="54">
        <v>0</v>
      </c>
      <c r="D19" s="54">
        <v>0</v>
      </c>
      <c r="E19" s="57">
        <v>636597.49</v>
      </c>
      <c r="F19" s="58">
        <v>304165.35</v>
      </c>
      <c r="G19" s="59">
        <f>(B19+E19+F19)/100000</f>
        <v>36.6249564</v>
      </c>
      <c r="H19" s="8">
        <v>15.034</v>
      </c>
      <c r="I19" s="8">
        <v>62.38</v>
      </c>
      <c r="J19" s="7">
        <f>H19/36930*1000000</f>
        <v>407.09450311399945</v>
      </c>
      <c r="K19" s="59">
        <f>G19/36930*100000</f>
        <v>99.17399512591389</v>
      </c>
      <c r="L19" s="4">
        <v>2011</v>
      </c>
    </row>
    <row r="20" spans="1:12" ht="12.75">
      <c r="A20" s="4">
        <v>2012</v>
      </c>
      <c r="B20" s="54">
        <f>(229542.5*6)+(235419.79*6)-600+23505.16</f>
        <v>2812678.9000000004</v>
      </c>
      <c r="C20" s="54">
        <v>0</v>
      </c>
      <c r="D20" s="54">
        <v>0</v>
      </c>
      <c r="E20" s="57">
        <v>633562</v>
      </c>
      <c r="F20" s="58">
        <v>259599.93</v>
      </c>
      <c r="G20" s="59">
        <f>(B20+E20+F20)/100000</f>
        <v>37.0584083</v>
      </c>
      <c r="H20" s="56">
        <v>14.5</v>
      </c>
      <c r="I20" s="8">
        <v>60.86</v>
      </c>
      <c r="J20" s="7">
        <f>H20/37666*1000000</f>
        <v>384.9625657091276</v>
      </c>
      <c r="K20" s="59">
        <f>G20/37666*100000</f>
        <v>98.3868961397547</v>
      </c>
      <c r="L20" s="4">
        <v>2012</v>
      </c>
    </row>
    <row r="21" spans="1:12" ht="12.75">
      <c r="A21" s="4">
        <v>2013</v>
      </c>
      <c r="B21" s="60">
        <v>2855159.08</v>
      </c>
      <c r="C21" s="54">
        <v>0</v>
      </c>
      <c r="D21" s="54">
        <v>0</v>
      </c>
      <c r="E21" s="57">
        <v>631878.77</v>
      </c>
      <c r="F21" s="58">
        <v>252214.51</v>
      </c>
      <c r="G21" s="59">
        <f>(B21+E21+F21)/100000</f>
        <v>37.392523600000004</v>
      </c>
      <c r="H21" s="56">
        <v>14.63</v>
      </c>
      <c r="I21" s="8">
        <v>61.53</v>
      </c>
      <c r="J21" s="7">
        <f>H21/38116*1000000</f>
        <v>383.82831356910486</v>
      </c>
      <c r="K21" s="59">
        <f>G21/38116*100000</f>
        <v>98.10190890964425</v>
      </c>
      <c r="L21" s="4">
        <v>2013</v>
      </c>
    </row>
    <row r="22" spans="1:3" ht="12.75">
      <c r="A22" s="61" t="s">
        <v>11</v>
      </c>
      <c r="C22" s="54"/>
    </row>
    <row r="24" spans="1:4" ht="12.75">
      <c r="A24" s="1" t="s">
        <v>0</v>
      </c>
      <c r="B24" s="1" t="s">
        <v>9</v>
      </c>
      <c r="C24" s="1" t="s">
        <v>1</v>
      </c>
      <c r="D24" s="1" t="s">
        <v>2</v>
      </c>
    </row>
    <row r="25" spans="1:4" ht="12.75">
      <c r="A25" s="4">
        <v>1996</v>
      </c>
      <c r="B25" s="62">
        <f>5634660992/1936.27/100000</f>
        <v>29.100595433488095</v>
      </c>
      <c r="C25" s="5">
        <v>13.381</v>
      </c>
      <c r="D25" s="6">
        <v>10.08</v>
      </c>
    </row>
    <row r="26" spans="1:4" ht="12.75">
      <c r="A26" s="4">
        <v>1997</v>
      </c>
      <c r="B26" s="62">
        <f>6661270497/1936.27/100000</f>
        <v>34.402591048769025</v>
      </c>
      <c r="C26" s="5">
        <v>13.86</v>
      </c>
      <c r="D26" s="6">
        <v>15.95</v>
      </c>
    </row>
    <row r="27" spans="1:4" ht="12.75">
      <c r="A27" s="4">
        <v>1998</v>
      </c>
      <c r="B27" s="62">
        <f>4655003286/1936.27/100000</f>
        <v>24.0410856233893</v>
      </c>
      <c r="C27" s="5">
        <v>13.654</v>
      </c>
      <c r="D27" s="6">
        <v>48.43</v>
      </c>
    </row>
    <row r="28" spans="1:4" ht="12.75">
      <c r="A28" s="4">
        <v>1999</v>
      </c>
      <c r="B28" s="62">
        <f>4748953783/1936.27/100000</f>
        <v>24.52629944687466</v>
      </c>
      <c r="C28" s="5">
        <v>13.9</v>
      </c>
      <c r="D28" s="6">
        <v>50.09</v>
      </c>
    </row>
    <row r="29" spans="1:4" ht="12.75">
      <c r="A29" s="4">
        <v>2000</v>
      </c>
      <c r="B29" s="48">
        <v>23.71</v>
      </c>
      <c r="C29" s="8">
        <v>15.724</v>
      </c>
      <c r="D29" s="8">
        <v>48.94</v>
      </c>
    </row>
    <row r="30" spans="1:4" ht="12.75">
      <c r="A30" s="4">
        <v>2001</v>
      </c>
      <c r="B30" s="63">
        <v>21.86</v>
      </c>
      <c r="C30" s="8">
        <v>16.81</v>
      </c>
      <c r="D30" s="8">
        <v>54.64</v>
      </c>
    </row>
    <row r="31" spans="1:4" ht="12.75">
      <c r="A31" s="4">
        <v>2002</v>
      </c>
      <c r="B31" s="48">
        <v>21.67</v>
      </c>
      <c r="C31" s="8">
        <v>16.93</v>
      </c>
      <c r="D31" s="8">
        <v>54.58</v>
      </c>
    </row>
    <row r="32" spans="1:4" ht="12.75">
      <c r="A32" s="4">
        <v>2003</v>
      </c>
      <c r="B32" s="48">
        <v>23.28</v>
      </c>
      <c r="C32" s="8">
        <v>16.597</v>
      </c>
      <c r="D32" s="8">
        <v>54.62</v>
      </c>
    </row>
    <row r="33" spans="1:4" ht="12.75">
      <c r="A33" s="64">
        <v>2004</v>
      </c>
      <c r="B33" s="48">
        <v>28.08</v>
      </c>
      <c r="C33" s="8">
        <v>15.98</v>
      </c>
      <c r="D33" s="8">
        <v>53.87</v>
      </c>
    </row>
    <row r="34" spans="1:4" ht="12.75">
      <c r="A34" s="9">
        <v>2005</v>
      </c>
      <c r="B34" s="48">
        <v>32.74</v>
      </c>
      <c r="C34" s="10">
        <v>15.975</v>
      </c>
      <c r="D34" s="11">
        <v>54.46</v>
      </c>
    </row>
    <row r="35" spans="1:4" ht="12.75">
      <c r="A35" s="9">
        <v>2006</v>
      </c>
      <c r="B35" s="65">
        <v>33.84</v>
      </c>
      <c r="C35" s="12">
        <v>14.982</v>
      </c>
      <c r="D35" s="13">
        <v>53.09</v>
      </c>
    </row>
    <row r="36" spans="1:4" ht="12.75">
      <c r="A36" s="9">
        <v>2007</v>
      </c>
      <c r="B36" s="47">
        <v>34.83</v>
      </c>
      <c r="C36" s="12">
        <v>15.077</v>
      </c>
      <c r="D36" s="13">
        <v>53.55</v>
      </c>
    </row>
    <row r="37" spans="1:4" ht="12.75">
      <c r="A37" s="9">
        <v>2008</v>
      </c>
      <c r="B37" s="47">
        <v>34.97</v>
      </c>
      <c r="C37" s="12">
        <v>16.044</v>
      </c>
      <c r="D37" s="13">
        <v>55.99</v>
      </c>
    </row>
    <row r="38" spans="1:4" ht="12.75">
      <c r="A38" s="9">
        <v>2009</v>
      </c>
      <c r="B38" s="47">
        <v>35.51</v>
      </c>
      <c r="C38" s="12">
        <v>15.07</v>
      </c>
      <c r="D38" s="13">
        <v>55.49</v>
      </c>
    </row>
    <row r="39" spans="1:4" ht="12.75">
      <c r="A39" s="4">
        <v>2010</v>
      </c>
      <c r="B39" s="47">
        <v>35.36</v>
      </c>
      <c r="C39" s="8">
        <v>15.5</v>
      </c>
      <c r="D39" s="56">
        <v>61.74</v>
      </c>
    </row>
    <row r="40" spans="1:4" ht="12.75">
      <c r="A40" s="4">
        <v>2011</v>
      </c>
      <c r="B40" s="48">
        <v>35.32</v>
      </c>
      <c r="C40" s="8">
        <v>15.034</v>
      </c>
      <c r="D40" s="8">
        <v>62.38</v>
      </c>
    </row>
    <row r="41" spans="1:4" ht="12.75">
      <c r="A41" s="4">
        <v>2012</v>
      </c>
      <c r="B41" s="48">
        <v>37.06</v>
      </c>
      <c r="C41" s="56">
        <v>14.5</v>
      </c>
      <c r="D41" s="8">
        <v>60.86</v>
      </c>
    </row>
    <row r="42" spans="1:4" ht="12.75">
      <c r="A42" s="4">
        <v>2013</v>
      </c>
      <c r="B42" s="48">
        <v>39.39</v>
      </c>
      <c r="C42" s="56">
        <v>14.63</v>
      </c>
      <c r="D42" s="8">
        <v>61.53</v>
      </c>
    </row>
  </sheetData>
  <sheetProtection selectLockedCells="1" selectUnlockedCells="1"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/>
  <headerFooter alignWithMargins="0">
    <oddHeader>&amp;CSPESE SERVIZI DI 9IGIENE URBANA E SMALTIMENTO RIFIUTI 2000-2004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="110" zoomScaleNormal="110" workbookViewId="0" topLeftCell="A7">
      <selection activeCell="B2" sqref="B2"/>
    </sheetView>
  </sheetViews>
  <sheetFormatPr defaultColWidth="9.140625" defaultRowHeight="12.75"/>
  <cols>
    <col min="2" max="2" width="13.140625" style="0" customWidth="1"/>
    <col min="3" max="3" width="20.140625" style="0" customWidth="1"/>
    <col min="4" max="4" width="23.28125" style="0" customWidth="1"/>
  </cols>
  <sheetData>
    <row r="1" spans="1:4" ht="12.75">
      <c r="A1" s="66" t="s">
        <v>12</v>
      </c>
      <c r="B1" s="66" t="s">
        <v>13</v>
      </c>
      <c r="C1" s="66" t="s">
        <v>14</v>
      </c>
      <c r="D1" s="66" t="s">
        <v>15</v>
      </c>
    </row>
    <row r="2" spans="1:4" ht="12.75">
      <c r="A2" s="66">
        <v>2001</v>
      </c>
      <c r="B2" s="67">
        <v>33499</v>
      </c>
      <c r="C2" s="67">
        <v>16810</v>
      </c>
      <c r="D2" s="7">
        <f>C2/B2*100000</f>
        <v>50180.60240604197</v>
      </c>
    </row>
    <row r="3" spans="1:4" ht="12.75">
      <c r="A3" s="66">
        <v>2002</v>
      </c>
      <c r="B3" s="67">
        <v>33586</v>
      </c>
      <c r="C3" s="67">
        <v>16930</v>
      </c>
      <c r="D3" s="7">
        <f>C3/B3*100000</f>
        <v>50407.908056928485</v>
      </c>
    </row>
    <row r="4" spans="1:4" ht="12.75">
      <c r="A4" s="66">
        <v>2003</v>
      </c>
      <c r="B4" s="67">
        <v>33700</v>
      </c>
      <c r="C4" s="67">
        <v>16597</v>
      </c>
      <c r="D4" s="7">
        <f>C4/B4*100000</f>
        <v>49249.25816023739</v>
      </c>
    </row>
    <row r="5" spans="1:4" ht="12.75">
      <c r="A5" s="66">
        <v>2004</v>
      </c>
      <c r="B5" s="67">
        <v>33789</v>
      </c>
      <c r="C5" s="67">
        <v>15975</v>
      </c>
      <c r="D5" s="7">
        <f>C5/B5*100000</f>
        <v>47278.700168693955</v>
      </c>
    </row>
    <row r="6" spans="1:4" ht="12.75">
      <c r="A6" s="66">
        <v>2005</v>
      </c>
      <c r="B6" s="67">
        <v>33916</v>
      </c>
      <c r="C6" s="67">
        <v>15980</v>
      </c>
      <c r="D6" s="7">
        <f>C6/B6*100000</f>
        <v>47116.40523646656</v>
      </c>
    </row>
    <row r="7" spans="1:4" ht="12.75">
      <c r="A7" s="66">
        <v>2006</v>
      </c>
      <c r="B7" s="67">
        <v>34317</v>
      </c>
      <c r="C7" s="68">
        <v>14982</v>
      </c>
      <c r="D7" s="7">
        <f>C7/B7*100000</f>
        <v>43657.66238307545</v>
      </c>
    </row>
    <row r="8" spans="1:4" ht="12.75">
      <c r="A8" s="66">
        <v>2007</v>
      </c>
      <c r="B8" s="67">
        <v>34496</v>
      </c>
      <c r="C8" s="67">
        <v>15077</v>
      </c>
      <c r="D8" s="7">
        <f>C8/B8*100000</f>
        <v>43706.51669758813</v>
      </c>
    </row>
    <row r="9" spans="1:4" ht="12.75">
      <c r="A9" s="66">
        <v>2008</v>
      </c>
      <c r="B9" s="67">
        <v>34750</v>
      </c>
      <c r="C9" s="67">
        <v>16044</v>
      </c>
      <c r="D9" s="7">
        <f>C9/B9*100000</f>
        <v>46169.78417266187</v>
      </c>
    </row>
    <row r="10" spans="1:4" ht="12.75">
      <c r="A10" s="66">
        <v>2009</v>
      </c>
      <c r="B10" s="55">
        <v>35498</v>
      </c>
      <c r="C10" s="55">
        <v>15072</v>
      </c>
      <c r="D10" s="7">
        <f>C10/B10*100000</f>
        <v>42458.73006929968</v>
      </c>
    </row>
    <row r="11" spans="1:4" ht="12.75">
      <c r="A11" s="66">
        <v>2010</v>
      </c>
      <c r="B11" s="55">
        <v>36369</v>
      </c>
      <c r="C11" s="55">
        <v>15500</v>
      </c>
      <c r="D11" s="7">
        <f>C11/B11*100000</f>
        <v>42618.71373972339</v>
      </c>
    </row>
    <row r="12" spans="1:4" ht="12.75">
      <c r="A12" s="66">
        <v>2011</v>
      </c>
      <c r="B12" s="55">
        <v>36930</v>
      </c>
      <c r="C12" s="55">
        <v>15034</v>
      </c>
      <c r="D12" s="7">
        <f>C12/B12*100000</f>
        <v>40709.450311399945</v>
      </c>
    </row>
    <row r="13" spans="1:4" ht="12.75">
      <c r="A13" s="66">
        <v>2012</v>
      </c>
      <c r="B13" s="55">
        <v>37666</v>
      </c>
      <c r="C13" s="55">
        <v>14503</v>
      </c>
      <c r="D13" s="7">
        <f>C13/B13*100000</f>
        <v>38504.22131365157</v>
      </c>
    </row>
    <row r="14" spans="1:4" ht="12.75">
      <c r="A14" s="66">
        <v>2013</v>
      </c>
      <c r="B14" s="55">
        <v>38116</v>
      </c>
      <c r="C14" s="55">
        <v>14628</v>
      </c>
      <c r="D14" s="7">
        <f>C14/B14*100000</f>
        <v>38377.58421660195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zoomScale="110" zoomScaleNormal="110" workbookViewId="0" topLeftCell="A31">
      <selection activeCell="C15" sqref="C15"/>
    </sheetView>
  </sheetViews>
  <sheetFormatPr defaultColWidth="11.421875" defaultRowHeight="12.75"/>
  <cols>
    <col min="1" max="8" width="11.57421875" style="0" customWidth="1"/>
    <col min="9" max="16384" width="11.57421875" style="0" customWidth="1"/>
  </cols>
  <sheetData>
    <row r="1" spans="1:6" ht="12.75">
      <c r="A1" s="68" t="s">
        <v>0</v>
      </c>
      <c r="B1" s="68" t="s">
        <v>16</v>
      </c>
      <c r="C1" s="68" t="s">
        <v>17</v>
      </c>
      <c r="D1" s="68" t="s">
        <v>18</v>
      </c>
      <c r="E1" s="68" t="s">
        <v>19</v>
      </c>
      <c r="F1" s="68" t="s">
        <v>20</v>
      </c>
    </row>
    <row r="2" spans="1:6" ht="12.75">
      <c r="A2" s="68">
        <v>2000</v>
      </c>
      <c r="B2" s="68">
        <v>2763</v>
      </c>
      <c r="C2" s="68">
        <v>1331</v>
      </c>
      <c r="D2" s="68">
        <v>281</v>
      </c>
      <c r="E2" s="68">
        <v>1231</v>
      </c>
      <c r="F2" s="67">
        <v>33000</v>
      </c>
    </row>
    <row r="3" spans="1:6" ht="12.75">
      <c r="A3" s="68">
        <v>2001</v>
      </c>
      <c r="B3" s="68">
        <v>2661</v>
      </c>
      <c r="C3" s="68">
        <v>1279</v>
      </c>
      <c r="D3" s="68">
        <v>298</v>
      </c>
      <c r="E3" s="68">
        <v>1272</v>
      </c>
      <c r="F3" s="21">
        <v>33499</v>
      </c>
    </row>
    <row r="4" spans="1:6" ht="12.75">
      <c r="A4" s="68">
        <v>2002</v>
      </c>
      <c r="B4" s="68">
        <v>2537</v>
      </c>
      <c r="C4" s="68">
        <v>1366</v>
      </c>
      <c r="D4" s="68">
        <v>330</v>
      </c>
      <c r="E4" s="68">
        <v>1263</v>
      </c>
      <c r="F4" s="21">
        <v>33586</v>
      </c>
    </row>
    <row r="5" spans="1:6" ht="12.75">
      <c r="A5" s="68">
        <v>2003</v>
      </c>
      <c r="B5" s="68">
        <v>2481</v>
      </c>
      <c r="C5" s="68">
        <v>1304</v>
      </c>
      <c r="D5" s="68">
        <v>395</v>
      </c>
      <c r="E5" s="68">
        <v>1495</v>
      </c>
      <c r="F5" s="21">
        <v>33700</v>
      </c>
    </row>
    <row r="6" spans="1:6" ht="12.75">
      <c r="A6" s="68">
        <v>2004</v>
      </c>
      <c r="B6" s="68">
        <v>2753</v>
      </c>
      <c r="C6" s="68">
        <v>1402</v>
      </c>
      <c r="D6" s="68">
        <v>384</v>
      </c>
      <c r="E6" s="68">
        <v>1543</v>
      </c>
      <c r="F6" s="21">
        <v>33789</v>
      </c>
    </row>
    <row r="7" spans="1:6" ht="12.75">
      <c r="A7" s="68">
        <v>2005</v>
      </c>
      <c r="B7" s="68">
        <v>2886</v>
      </c>
      <c r="C7" s="68">
        <v>1482</v>
      </c>
      <c r="D7" s="68">
        <v>427</v>
      </c>
      <c r="E7" s="68">
        <v>1460</v>
      </c>
      <c r="F7" s="21">
        <v>33916</v>
      </c>
    </row>
    <row r="8" spans="1:6" ht="12.75">
      <c r="A8" s="68">
        <v>2006</v>
      </c>
      <c r="B8" s="68">
        <v>2995</v>
      </c>
      <c r="C8" s="68">
        <v>1464</v>
      </c>
      <c r="D8" s="68">
        <v>409</v>
      </c>
      <c r="E8" s="68">
        <v>1467</v>
      </c>
      <c r="F8" s="21">
        <v>34317</v>
      </c>
    </row>
    <row r="9" spans="1:6" ht="12.75">
      <c r="A9" s="68">
        <v>2007</v>
      </c>
      <c r="B9" s="7">
        <v>3068.54</v>
      </c>
      <c r="C9" s="68">
        <v>1416</v>
      </c>
      <c r="D9" s="7">
        <v>408.84</v>
      </c>
      <c r="E9" s="68">
        <v>1337</v>
      </c>
      <c r="F9" s="21">
        <v>34496</v>
      </c>
    </row>
    <row r="10" spans="1:6" ht="12.75">
      <c r="A10" s="55">
        <v>2008</v>
      </c>
      <c r="B10" s="55">
        <v>3079</v>
      </c>
      <c r="C10" s="55">
        <v>1513</v>
      </c>
      <c r="D10" s="55">
        <v>444</v>
      </c>
      <c r="E10" s="55">
        <v>1367</v>
      </c>
      <c r="F10" s="55">
        <v>34750</v>
      </c>
    </row>
    <row r="11" spans="1:6" ht="12.75">
      <c r="A11" s="55">
        <v>2009</v>
      </c>
      <c r="B11" s="55">
        <v>3092</v>
      </c>
      <c r="C11" s="55">
        <v>1464</v>
      </c>
      <c r="D11" s="55">
        <v>451</v>
      </c>
      <c r="E11" s="55">
        <v>1363</v>
      </c>
      <c r="F11" s="55">
        <v>35490</v>
      </c>
    </row>
    <row r="12" spans="1:6" ht="12.75">
      <c r="A12" s="55">
        <v>2010</v>
      </c>
      <c r="B12" s="55">
        <v>3200</v>
      </c>
      <c r="C12" s="55">
        <v>1442</v>
      </c>
      <c r="D12" s="55">
        <v>626</v>
      </c>
      <c r="E12" s="55">
        <v>1399</v>
      </c>
      <c r="F12" s="55">
        <v>36369</v>
      </c>
    </row>
    <row r="13" spans="1:6" ht="12.75">
      <c r="A13" s="55">
        <v>2011</v>
      </c>
      <c r="B13" s="55">
        <v>3168</v>
      </c>
      <c r="C13" s="55">
        <v>1383</v>
      </c>
      <c r="D13" s="55">
        <v>609</v>
      </c>
      <c r="E13" s="55">
        <v>1359</v>
      </c>
      <c r="F13" s="55">
        <v>36930</v>
      </c>
    </row>
    <row r="14" spans="1:6" ht="12.75">
      <c r="A14" s="55">
        <v>2012</v>
      </c>
      <c r="B14" s="55">
        <v>2957</v>
      </c>
      <c r="C14" s="55">
        <v>1270</v>
      </c>
      <c r="D14" s="55">
        <v>593</v>
      </c>
      <c r="E14" s="55">
        <v>1273</v>
      </c>
      <c r="F14" s="55">
        <v>37666</v>
      </c>
    </row>
    <row r="15" spans="1:6" ht="12.75">
      <c r="A15" s="55">
        <v>2013</v>
      </c>
      <c r="B15" s="55">
        <v>2966</v>
      </c>
      <c r="C15" s="55">
        <v>1256</v>
      </c>
      <c r="D15" s="55">
        <v>602</v>
      </c>
      <c r="E15" s="55">
        <v>1278</v>
      </c>
      <c r="F15" s="55">
        <v>38116</v>
      </c>
    </row>
    <row r="16" ht="12.75">
      <c r="A16" s="69" t="s">
        <v>21</v>
      </c>
    </row>
    <row r="17" spans="1:5" ht="12.75">
      <c r="A17" s="68" t="s">
        <v>0</v>
      </c>
      <c r="B17" s="55" t="s">
        <v>22</v>
      </c>
      <c r="C17" s="55" t="s">
        <v>23</v>
      </c>
      <c r="D17" s="55" t="s">
        <v>24</v>
      </c>
      <c r="E17" s="55" t="s">
        <v>25</v>
      </c>
    </row>
    <row r="18" spans="1:5" ht="12.75">
      <c r="A18" s="68">
        <v>2000</v>
      </c>
      <c r="B18" s="68">
        <f>2763/33</f>
        <v>83.72727272727273</v>
      </c>
      <c r="C18" s="68">
        <f>1331/33</f>
        <v>40.333333333333336</v>
      </c>
      <c r="D18" s="68">
        <f>281/33</f>
        <v>8.515151515151516</v>
      </c>
      <c r="E18" s="68">
        <f>1231/33</f>
        <v>37.303030303030305</v>
      </c>
    </row>
    <row r="19" spans="1:5" ht="12.75">
      <c r="A19" s="68">
        <v>2001</v>
      </c>
      <c r="B19" s="68">
        <f>2661/33.499</f>
        <v>79.4352070211051</v>
      </c>
      <c r="C19" s="68">
        <f>1279/33.499</f>
        <v>38.18024418639362</v>
      </c>
      <c r="D19" s="68">
        <f>298/33.499</f>
        <v>8.895787933968178</v>
      </c>
      <c r="E19" s="68">
        <f>1272/33.499</f>
        <v>37.97128272485745</v>
      </c>
    </row>
    <row r="20" spans="1:5" ht="12.75">
      <c r="A20" s="68">
        <v>2002</v>
      </c>
      <c r="B20" s="68">
        <f>2537/33.586</f>
        <v>75.53742630858096</v>
      </c>
      <c r="C20" s="68">
        <f>1366/33.586</f>
        <v>40.671708449949385</v>
      </c>
      <c r="D20" s="68">
        <f>330/33.586</f>
        <v>9.82552253915322</v>
      </c>
      <c r="E20" s="68">
        <f>1263/33.586</f>
        <v>37.60495444530459</v>
      </c>
    </row>
    <row r="21" spans="1:5" ht="12.75">
      <c r="A21" s="68">
        <v>2003</v>
      </c>
      <c r="B21" s="68">
        <f>2481/33.7</f>
        <v>73.62017804154301</v>
      </c>
      <c r="C21" s="68">
        <f>1304/33.7</f>
        <v>38.69436201780415</v>
      </c>
      <c r="D21" s="68">
        <f>395/33.7</f>
        <v>11.72106824925816</v>
      </c>
      <c r="E21" s="68">
        <f>1495/33.7</f>
        <v>44.3620178041543</v>
      </c>
    </row>
    <row r="22" spans="1:5" ht="12.75">
      <c r="A22" s="68">
        <v>2004</v>
      </c>
      <c r="B22" s="68">
        <f>2753/33.789</f>
        <v>81.47622007162094</v>
      </c>
      <c r="C22" s="68">
        <f>1402/33.789</f>
        <v>41.492793512681644</v>
      </c>
      <c r="D22" s="68">
        <f>384/33.789</f>
        <v>11.36464529876587</v>
      </c>
      <c r="E22" s="68">
        <f>1543/33.789</f>
        <v>45.66574920832223</v>
      </c>
    </row>
    <row r="23" spans="1:5" ht="12.75">
      <c r="A23" s="68">
        <v>2005</v>
      </c>
      <c r="B23" s="68">
        <f>2886/33.916</f>
        <v>85.09258167236703</v>
      </c>
      <c r="C23" s="68">
        <f>1482/33.916</f>
        <v>43.6961905885128</v>
      </c>
      <c r="D23" s="68">
        <f>427/33.916</f>
        <v>12.589928057553958</v>
      </c>
      <c r="E23" s="68">
        <f>1460/33.916</f>
        <v>43.04752918976295</v>
      </c>
    </row>
    <row r="24" spans="1:5" ht="12.75">
      <c r="A24" s="68">
        <v>2006</v>
      </c>
      <c r="B24" s="68">
        <f>2995/34.317</f>
        <v>87.27452865926509</v>
      </c>
      <c r="C24" s="68">
        <f>1464/34.317</f>
        <v>42.66107177200804</v>
      </c>
      <c r="D24" s="68">
        <f>409/34.317</f>
        <v>11.918291225923012</v>
      </c>
      <c r="E24" s="68">
        <f>1467/34.317</f>
        <v>42.748492001049044</v>
      </c>
    </row>
    <row r="25" spans="1:5" ht="12.75">
      <c r="A25" s="68">
        <v>2007</v>
      </c>
      <c r="B25" s="7">
        <f>3068.54/34.496</f>
        <v>88.95350185528757</v>
      </c>
      <c r="C25" s="68">
        <f>1416/34.496</f>
        <v>41.0482374768089</v>
      </c>
      <c r="D25" s="7">
        <f>408.84/34.496</f>
        <v>11.851808905380333</v>
      </c>
      <c r="E25" s="68">
        <f>1337/34.496</f>
        <v>38.758116883116884</v>
      </c>
    </row>
    <row r="26" spans="1:5" ht="12.75">
      <c r="A26" s="55">
        <v>2008</v>
      </c>
      <c r="B26" s="67">
        <f>3079/34.75</f>
        <v>88.60431654676259</v>
      </c>
      <c r="C26" s="67">
        <f>1513/34.75</f>
        <v>43.539568345323744</v>
      </c>
      <c r="D26" s="67">
        <f>444/34.75</f>
        <v>12.776978417266188</v>
      </c>
      <c r="E26" s="67">
        <f>1367/34.75</f>
        <v>39.33812949640288</v>
      </c>
    </row>
    <row r="27" spans="1:5" ht="12.75">
      <c r="A27" s="55">
        <v>2009</v>
      </c>
      <c r="B27" s="67">
        <f>3092/35.49</f>
        <v>87.12313327697943</v>
      </c>
      <c r="C27" s="67">
        <f>1464/35.49</f>
        <v>41.251056635672015</v>
      </c>
      <c r="D27" s="67">
        <f>451/35.49</f>
        <v>12.707805015497323</v>
      </c>
      <c r="E27" s="67">
        <f>1363/35.49</f>
        <v>38.40518455903071</v>
      </c>
    </row>
    <row r="28" spans="1:5" ht="12.75">
      <c r="A28" s="55">
        <v>2010</v>
      </c>
      <c r="B28" s="67">
        <f>B12/36.369</f>
        <v>87.98702191426764</v>
      </c>
      <c r="C28" s="67">
        <f>C12/36.369</f>
        <v>39.64915175011686</v>
      </c>
      <c r="D28" s="67">
        <f>D12/36.369</f>
        <v>17.21246116197861</v>
      </c>
      <c r="E28" s="67">
        <f>E12/36.369</f>
        <v>38.466826143143884</v>
      </c>
    </row>
    <row r="29" spans="1:5" ht="12.75">
      <c r="A29" s="55">
        <v>2011</v>
      </c>
      <c r="B29" s="67">
        <f>B13/F13*1000</f>
        <v>85.78391551584077</v>
      </c>
      <c r="C29" s="67">
        <f>C13/F13*1000</f>
        <v>37.44922826969943</v>
      </c>
      <c r="D29" s="67">
        <f>D13/F13*1000</f>
        <v>16.490658001624695</v>
      </c>
      <c r="E29" s="67">
        <f>E13/F13*1000</f>
        <v>36.79935012185216</v>
      </c>
    </row>
    <row r="30" spans="1:5" ht="12.75">
      <c r="A30" s="55">
        <v>2012</v>
      </c>
      <c r="B30" s="67">
        <f>B14/F14*1000</f>
        <v>78.50581426219932</v>
      </c>
      <c r="C30" s="67">
        <f>C14/F14*1000</f>
        <v>33.71741092762704</v>
      </c>
      <c r="D30" s="67">
        <f>D14/F14*1000</f>
        <v>15.743641480380182</v>
      </c>
      <c r="E30" s="67">
        <f>E14/F14*1000</f>
        <v>33.79705835501513</v>
      </c>
    </row>
    <row r="31" spans="1:5" ht="12.75">
      <c r="A31">
        <v>2013</v>
      </c>
      <c r="B31" s="67">
        <f>B15/F15*1000</f>
        <v>77.81509077552734</v>
      </c>
      <c r="C31" s="67">
        <f>C15/F15*1000</f>
        <v>32.95204113758002</v>
      </c>
      <c r="D31" s="67">
        <f>D15/F15*1000</f>
        <v>15.793892328680867</v>
      </c>
      <c r="E31" s="67">
        <f>E15/F15*1000</f>
        <v>33.52922657151852</v>
      </c>
    </row>
    <row r="68" spans="2:7" ht="36.75">
      <c r="B68" t="s">
        <v>0</v>
      </c>
      <c r="C68" s="70" t="s">
        <v>26</v>
      </c>
      <c r="D68" t="s">
        <v>27</v>
      </c>
      <c r="E68" t="s">
        <v>28</v>
      </c>
      <c r="F68" t="s">
        <v>29</v>
      </c>
      <c r="G68" t="s">
        <v>30</v>
      </c>
    </row>
    <row r="70" spans="2:7" ht="12.75">
      <c r="B70">
        <v>2000</v>
      </c>
      <c r="C70">
        <v>1.78</v>
      </c>
      <c r="D70">
        <v>17.57</v>
      </c>
      <c r="E70">
        <v>8.46</v>
      </c>
      <c r="F70">
        <v>7.83</v>
      </c>
      <c r="G70">
        <v>35.98</v>
      </c>
    </row>
    <row r="71" spans="2:7" ht="12.75">
      <c r="B71">
        <f>B70+1</f>
        <v>2001</v>
      </c>
      <c r="C71">
        <v>1.77</v>
      </c>
      <c r="D71">
        <v>15.83</v>
      </c>
      <c r="E71">
        <v>7.61</v>
      </c>
      <c r="F71">
        <v>7.57</v>
      </c>
      <c r="G71">
        <v>35.57</v>
      </c>
    </row>
    <row r="72" spans="2:7" ht="12.75">
      <c r="B72">
        <f>B71+1</f>
        <v>2002</v>
      </c>
      <c r="C72">
        <v>1.9500000000000002</v>
      </c>
      <c r="D72">
        <v>14.99</v>
      </c>
      <c r="E72">
        <v>8.07</v>
      </c>
      <c r="F72">
        <v>7.46</v>
      </c>
      <c r="G72">
        <v>36.28</v>
      </c>
    </row>
    <row r="73" spans="2:7" ht="12.75">
      <c r="B73">
        <f>B72+1</f>
        <v>2003</v>
      </c>
      <c r="C73">
        <v>2.38</v>
      </c>
      <c r="D73">
        <v>14.95</v>
      </c>
      <c r="E73">
        <v>7.86</v>
      </c>
      <c r="F73">
        <v>9</v>
      </c>
      <c r="G73">
        <v>35.4</v>
      </c>
    </row>
    <row r="74" spans="2:7" ht="12.75">
      <c r="B74">
        <f>B73+1</f>
        <v>2004</v>
      </c>
      <c r="C74">
        <v>2.4</v>
      </c>
      <c r="D74">
        <v>17.24</v>
      </c>
      <c r="E74">
        <v>8.77</v>
      </c>
      <c r="F74">
        <v>9.66</v>
      </c>
      <c r="G74">
        <v>38.59</v>
      </c>
    </row>
    <row r="75" spans="2:7" ht="12.75">
      <c r="B75">
        <f>B74+1</f>
        <v>2005</v>
      </c>
      <c r="C75">
        <v>2.84</v>
      </c>
      <c r="D75">
        <v>19.2</v>
      </c>
      <c r="E75">
        <v>9.86</v>
      </c>
      <c r="F75">
        <v>9.71</v>
      </c>
      <c r="G75">
        <v>39.27</v>
      </c>
    </row>
    <row r="76" spans="2:7" ht="12.75">
      <c r="B76">
        <f>B75+1</f>
        <v>2006</v>
      </c>
      <c r="C76">
        <v>2.73</v>
      </c>
      <c r="D76">
        <v>19.99</v>
      </c>
      <c r="E76">
        <v>9.71</v>
      </c>
      <c r="F76">
        <v>9.78</v>
      </c>
      <c r="G76">
        <v>40.86</v>
      </c>
    </row>
    <row r="77" spans="2:7" ht="12.75">
      <c r="B77">
        <f>B76+1</f>
        <v>2007</v>
      </c>
      <c r="C77">
        <v>2.75</v>
      </c>
      <c r="D77">
        <v>20.35</v>
      </c>
      <c r="E77">
        <v>9.39</v>
      </c>
      <c r="F77">
        <v>8.87</v>
      </c>
      <c r="G77">
        <v>40.82</v>
      </c>
    </row>
    <row r="78" spans="2:7" ht="12.75">
      <c r="B78">
        <f>B77+1</f>
        <v>2008</v>
      </c>
      <c r="C78">
        <v>2.77</v>
      </c>
      <c r="D78">
        <v>19.19</v>
      </c>
      <c r="E78">
        <v>9.43</v>
      </c>
      <c r="F78">
        <v>8.52</v>
      </c>
      <c r="G78">
        <v>37.93</v>
      </c>
    </row>
    <row r="79" spans="2:7" ht="12.75">
      <c r="B79">
        <f>B78+1</f>
        <v>2009</v>
      </c>
      <c r="C79">
        <v>2.99</v>
      </c>
      <c r="D79">
        <v>20.52</v>
      </c>
      <c r="E79">
        <v>9.72</v>
      </c>
      <c r="F79">
        <v>9.05</v>
      </c>
      <c r="G79">
        <v>39.21</v>
      </c>
    </row>
    <row r="80" spans="2:7" ht="12.75">
      <c r="B80">
        <f>B79+1</f>
        <v>2010</v>
      </c>
      <c r="C80">
        <v>4.04</v>
      </c>
      <c r="D80">
        <v>20.64</v>
      </c>
      <c r="E80">
        <v>9.31</v>
      </c>
      <c r="F80">
        <v>9.03</v>
      </c>
      <c r="G80">
        <v>38.1</v>
      </c>
    </row>
    <row r="81" spans="2:7" ht="12.75">
      <c r="B81">
        <f>B80+1</f>
        <v>2011</v>
      </c>
      <c r="C81">
        <v>4.27</v>
      </c>
      <c r="D81">
        <v>21.14</v>
      </c>
      <c r="E81">
        <v>9.23</v>
      </c>
      <c r="F81">
        <v>9.07</v>
      </c>
      <c r="G81">
        <v>37.4</v>
      </c>
    </row>
    <row r="82" spans="2:7" ht="12.75">
      <c r="B82">
        <v>2012</v>
      </c>
      <c r="C82">
        <v>4.09</v>
      </c>
      <c r="D82">
        <v>20.39</v>
      </c>
      <c r="E82">
        <v>8.76</v>
      </c>
      <c r="F82">
        <v>8.78</v>
      </c>
      <c r="G82">
        <v>38.85</v>
      </c>
    </row>
    <row r="83" spans="2:7" ht="12.75">
      <c r="B83">
        <v>2013</v>
      </c>
      <c r="C83">
        <v>4.12</v>
      </c>
      <c r="D83">
        <v>20.28</v>
      </c>
      <c r="E83">
        <v>8.58</v>
      </c>
      <c r="F83">
        <v>8.73</v>
      </c>
      <c r="G83">
        <v>38.48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10" zoomScaleNormal="110" workbookViewId="0" topLeftCell="A1">
      <selection activeCell="K13" sqref="K13"/>
    </sheetView>
  </sheetViews>
  <sheetFormatPr defaultColWidth="9.140625" defaultRowHeight="12.75"/>
  <cols>
    <col min="2" max="2" width="16.421875" style="0" customWidth="1"/>
    <col min="3" max="3" width="11.8515625" style="0" customWidth="1"/>
    <col min="4" max="5" width="14.421875" style="0" customWidth="1"/>
    <col min="6" max="6" width="14.57421875" style="0" customWidth="1"/>
    <col min="7" max="7" width="13.00390625" style="0" customWidth="1"/>
  </cols>
  <sheetData>
    <row r="1" spans="1:7" ht="12.75">
      <c r="A1" s="66" t="s">
        <v>0</v>
      </c>
      <c r="B1" s="66" t="s">
        <v>31</v>
      </c>
      <c r="C1" s="66" t="s">
        <v>16</v>
      </c>
      <c r="D1" s="66" t="s">
        <v>17</v>
      </c>
      <c r="E1" s="66" t="s">
        <v>18</v>
      </c>
      <c r="F1" s="66" t="s">
        <v>19</v>
      </c>
      <c r="G1" s="66" t="s">
        <v>32</v>
      </c>
    </row>
    <row r="2" spans="1:7" ht="12.75">
      <c r="A2" s="66">
        <v>1998</v>
      </c>
      <c r="B2" s="68">
        <v>546.3</v>
      </c>
      <c r="C2" s="68">
        <v>2766</v>
      </c>
      <c r="D2" s="68">
        <v>1205</v>
      </c>
      <c r="E2" s="68">
        <v>300</v>
      </c>
      <c r="F2" s="68">
        <v>913</v>
      </c>
      <c r="G2" s="67">
        <v>3300</v>
      </c>
    </row>
    <row r="3" spans="1:7" ht="12.75">
      <c r="A3" s="66">
        <v>1999</v>
      </c>
      <c r="B3" s="68">
        <v>559.2</v>
      </c>
      <c r="C3" s="68">
        <v>2840</v>
      </c>
      <c r="D3" s="68">
        <v>1391</v>
      </c>
      <c r="E3" s="68">
        <v>284</v>
      </c>
      <c r="F3" s="68">
        <v>1078</v>
      </c>
      <c r="G3" s="67">
        <v>3300</v>
      </c>
    </row>
    <row r="4" spans="1:7" ht="12.75">
      <c r="A4" s="66">
        <v>2000</v>
      </c>
      <c r="B4" s="68">
        <v>565.8</v>
      </c>
      <c r="C4" s="68">
        <v>2763</v>
      </c>
      <c r="D4" s="68">
        <v>1331</v>
      </c>
      <c r="E4" s="68">
        <v>281</v>
      </c>
      <c r="F4" s="68">
        <v>1231</v>
      </c>
      <c r="G4" s="67">
        <v>3300</v>
      </c>
    </row>
    <row r="5" spans="1:7" ht="12.75">
      <c r="A5" s="66">
        <v>2001</v>
      </c>
      <c r="B5" s="68">
        <v>597.9</v>
      </c>
      <c r="C5" s="68">
        <v>2661</v>
      </c>
      <c r="D5" s="68">
        <v>1279</v>
      </c>
      <c r="E5" s="68">
        <v>298</v>
      </c>
      <c r="F5" s="68">
        <v>1272</v>
      </c>
      <c r="G5" s="67">
        <f>33499/10</f>
        <v>3349.9</v>
      </c>
    </row>
    <row r="6" spans="1:7" ht="12.75">
      <c r="A6" s="66">
        <v>2002</v>
      </c>
      <c r="B6" s="68">
        <v>614.2</v>
      </c>
      <c r="C6" s="68">
        <v>2537</v>
      </c>
      <c r="D6" s="68">
        <v>1366</v>
      </c>
      <c r="E6" s="68">
        <v>330</v>
      </c>
      <c r="F6" s="68">
        <v>1263</v>
      </c>
      <c r="G6" s="67">
        <f>33586/10</f>
        <v>3358.6</v>
      </c>
    </row>
    <row r="7" spans="1:7" ht="12.75">
      <c r="A7" s="66">
        <v>2003</v>
      </c>
      <c r="B7" s="68">
        <v>587.6</v>
      </c>
      <c r="C7" s="68">
        <v>2481</v>
      </c>
      <c r="D7" s="68">
        <v>1304</v>
      </c>
      <c r="E7" s="68">
        <v>395</v>
      </c>
      <c r="F7" s="68">
        <v>1495</v>
      </c>
      <c r="G7" s="67">
        <f>33700/10</f>
        <v>3370</v>
      </c>
    </row>
    <row r="8" spans="1:7" ht="12.75">
      <c r="A8" s="66">
        <v>2004</v>
      </c>
      <c r="B8" s="68">
        <v>616.4</v>
      </c>
      <c r="C8" s="68">
        <v>2753</v>
      </c>
      <c r="D8" s="68">
        <v>1402</v>
      </c>
      <c r="E8" s="68">
        <v>384</v>
      </c>
      <c r="F8" s="68">
        <v>1543</v>
      </c>
      <c r="G8" s="67">
        <f>33789/10</f>
        <v>3378.9</v>
      </c>
    </row>
    <row r="9" spans="1:7" ht="12.75">
      <c r="A9" s="66">
        <v>2005</v>
      </c>
      <c r="B9" s="68">
        <v>590.1</v>
      </c>
      <c r="C9" s="68">
        <v>2886</v>
      </c>
      <c r="D9" s="68">
        <v>1482</v>
      </c>
      <c r="E9" s="68">
        <v>427</v>
      </c>
      <c r="F9" s="68">
        <v>1460</v>
      </c>
      <c r="G9" s="67">
        <f>33916/10</f>
        <v>3391.6</v>
      </c>
    </row>
    <row r="10" spans="1:7" ht="12.75">
      <c r="A10" s="66">
        <v>2006</v>
      </c>
      <c r="B10" s="68">
        <v>612.1</v>
      </c>
      <c r="C10" s="68">
        <v>2995</v>
      </c>
      <c r="D10" s="68">
        <v>1464</v>
      </c>
      <c r="E10" s="68">
        <v>409</v>
      </c>
      <c r="F10" s="68">
        <v>1467</v>
      </c>
      <c r="G10" s="67">
        <f>34317/10</f>
        <v>3431.7</v>
      </c>
    </row>
    <row r="11" spans="1:7" ht="12.75">
      <c r="A11" s="66">
        <v>2007</v>
      </c>
      <c r="B11" s="71">
        <v>615.48</v>
      </c>
      <c r="C11" s="7">
        <v>3068.54</v>
      </c>
      <c r="D11" s="68">
        <v>1416</v>
      </c>
      <c r="E11" s="7">
        <v>408.84</v>
      </c>
      <c r="F11" s="68">
        <v>1337</v>
      </c>
      <c r="G11" s="67">
        <f>34496/10</f>
        <v>3449.6</v>
      </c>
    </row>
    <row r="12" spans="1:7" ht="12.75">
      <c r="A12" s="66">
        <v>2008</v>
      </c>
      <c r="B12" s="71">
        <v>608.516</v>
      </c>
      <c r="C12" s="55">
        <v>3079</v>
      </c>
      <c r="D12" s="55">
        <v>1513</v>
      </c>
      <c r="E12" s="55">
        <v>444</v>
      </c>
      <c r="F12" s="55">
        <v>1367</v>
      </c>
      <c r="G12" s="55">
        <v>3475</v>
      </c>
    </row>
    <row r="13" spans="1:7" ht="12.75">
      <c r="A13" s="66">
        <v>2009</v>
      </c>
      <c r="B13" s="55">
        <v>590.9</v>
      </c>
      <c r="C13" s="55">
        <v>3092</v>
      </c>
      <c r="D13" s="55">
        <v>1464</v>
      </c>
      <c r="E13" s="55">
        <v>451</v>
      </c>
      <c r="F13" s="55">
        <v>1363</v>
      </c>
      <c r="G13" s="55">
        <v>3549</v>
      </c>
    </row>
    <row r="14" spans="1:7" ht="12.75">
      <c r="A14" s="66">
        <v>2010</v>
      </c>
      <c r="B14" s="55">
        <v>590.5</v>
      </c>
      <c r="C14" s="55">
        <v>3200</v>
      </c>
      <c r="D14" s="55">
        <v>1442</v>
      </c>
      <c r="E14" s="55">
        <v>626</v>
      </c>
      <c r="F14" s="55">
        <v>1399</v>
      </c>
      <c r="G14" s="55">
        <v>3636.9</v>
      </c>
    </row>
    <row r="15" spans="1:7" ht="12.75">
      <c r="A15" s="66">
        <v>2011</v>
      </c>
      <c r="B15" s="55">
        <v>569.6</v>
      </c>
      <c r="C15" s="55">
        <v>3168</v>
      </c>
      <c r="D15" s="55">
        <v>1383</v>
      </c>
      <c r="E15" s="55">
        <v>640</v>
      </c>
      <c r="F15" s="55">
        <v>1359</v>
      </c>
      <c r="G15" s="55">
        <v>3693</v>
      </c>
    </row>
    <row r="16" spans="1:7" ht="12.75">
      <c r="A16" s="66">
        <v>2012</v>
      </c>
      <c r="B16" s="55">
        <v>563.5</v>
      </c>
      <c r="C16" s="55">
        <v>2957</v>
      </c>
      <c r="D16" s="55">
        <v>1270</v>
      </c>
      <c r="E16" s="55">
        <v>593</v>
      </c>
      <c r="F16" s="55">
        <v>1273</v>
      </c>
      <c r="G16" s="55">
        <v>3766.6</v>
      </c>
    </row>
    <row r="17" spans="1:7" ht="12.75">
      <c r="A17" s="66">
        <v>2013</v>
      </c>
      <c r="B17" s="55">
        <v>562.9</v>
      </c>
      <c r="C17" s="55">
        <v>2966</v>
      </c>
      <c r="D17" s="55">
        <v>1256</v>
      </c>
      <c r="E17" s="55">
        <v>602</v>
      </c>
      <c r="F17" s="55">
        <v>1278</v>
      </c>
      <c r="G17" s="55">
        <v>3811.6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AnScolletta</dc:creator>
  <cp:keywords/>
  <dc:description/>
  <cp:lastModifiedBy/>
  <cp:lastPrinted>2008-08-06T09:12:29Z</cp:lastPrinted>
  <dcterms:created xsi:type="dcterms:W3CDTF">2005-02-22T12:51:48Z</dcterms:created>
  <dcterms:modified xsi:type="dcterms:W3CDTF">2014-05-12T13:16:17Z</dcterms:modified>
  <cp:category/>
  <cp:version/>
  <cp:contentType/>
  <cp:contentStatus/>
  <cp:revision>91</cp:revision>
</cp:coreProperties>
</file>